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1292" windowHeight="9516"/>
  </bookViews>
  <sheets>
    <sheet name="资金安排" sheetId="18" r:id="rId1"/>
    <sheet name="0601-改 (3)" sheetId="17" state="hidden" r:id="rId2"/>
    <sheet name="0601-改 (2)" sheetId="16" state="hidden" r:id="rId3"/>
    <sheet name="0601-改 (1)" sheetId="15" state="hidden" r:id="rId4"/>
    <sheet name="0531-改" sheetId="13" state="hidden" r:id="rId5"/>
    <sheet name="0531终稿" sheetId="11" state="hidden" r:id="rId6"/>
    <sheet name="0530下午报" sheetId="12" state="hidden" r:id="rId7"/>
    <sheet name="按改厕80%算" sheetId="9" state="hidden" r:id="rId8"/>
    <sheet name="0929签报稿" sheetId="8" state="hidden" r:id="rId9"/>
    <sheet name="按照85%计算" sheetId="14" state="hidden" r:id="rId10"/>
    <sheet name="最新计算过程" sheetId="7" state="hidden" r:id="rId11"/>
    <sheet name="计算修改" sheetId="6" state="hidden" r:id="rId12"/>
    <sheet name="原始计算过程" sheetId="4" state="hidden" r:id="rId13"/>
    <sheet name="Sheet1" sheetId="1" state="hidden" r:id="rId14"/>
    <sheet name="Sheet3" sheetId="3" r:id="rId15"/>
  </sheets>
  <definedNames>
    <definedName name="_xlnm.Print_Area" localSheetId="0">资金安排!$A$1:$C$33</definedName>
  </definedNames>
  <calcPr calcId="124519" fullPrecision="0"/>
</workbook>
</file>

<file path=xl/calcChain.xml><?xml version="1.0" encoding="utf-8"?>
<calcChain xmlns="http://schemas.openxmlformats.org/spreadsheetml/2006/main">
  <c r="P35" i="1"/>
  <c r="L35"/>
  <c r="K35"/>
  <c r="D35"/>
  <c r="C35"/>
  <c r="P34"/>
  <c r="L34"/>
  <c r="K34"/>
  <c r="D34"/>
  <c r="C34"/>
  <c r="P33"/>
  <c r="L33"/>
  <c r="C33"/>
  <c r="P32"/>
  <c r="L32"/>
  <c r="K32"/>
  <c r="D32"/>
  <c r="C32"/>
  <c r="P31"/>
  <c r="L31"/>
  <c r="K31"/>
  <c r="D31"/>
  <c r="C31"/>
  <c r="P30"/>
  <c r="L30"/>
  <c r="K30"/>
  <c r="D30"/>
  <c r="C30"/>
  <c r="P29"/>
  <c r="L29"/>
  <c r="K29"/>
  <c r="D29"/>
  <c r="C29"/>
  <c r="P28"/>
  <c r="L28"/>
  <c r="K28"/>
  <c r="D28"/>
  <c r="C28"/>
  <c r="P27"/>
  <c r="L27"/>
  <c r="K27"/>
  <c r="D27"/>
  <c r="C27"/>
  <c r="P26"/>
  <c r="L26"/>
  <c r="K26"/>
  <c r="D26"/>
  <c r="C26"/>
  <c r="P25"/>
  <c r="L25"/>
  <c r="K25"/>
  <c r="D25"/>
  <c r="C25"/>
  <c r="P24"/>
  <c r="L24"/>
  <c r="K24"/>
  <c r="D24"/>
  <c r="C24"/>
  <c r="P23"/>
  <c r="L23"/>
  <c r="K23"/>
  <c r="D23"/>
  <c r="C23"/>
  <c r="P22"/>
  <c r="L22"/>
  <c r="K22"/>
  <c r="D22"/>
  <c r="C22"/>
  <c r="P21"/>
  <c r="L21"/>
  <c r="K21"/>
  <c r="D21"/>
  <c r="C21"/>
  <c r="P20"/>
  <c r="L20"/>
  <c r="K20"/>
  <c r="D20"/>
  <c r="C20"/>
  <c r="P19"/>
  <c r="L19"/>
  <c r="K19"/>
  <c r="D19"/>
  <c r="C19"/>
  <c r="P18"/>
  <c r="L18"/>
  <c r="K18"/>
  <c r="D18"/>
  <c r="C18"/>
  <c r="P17"/>
  <c r="L17"/>
  <c r="K17"/>
  <c r="D17"/>
  <c r="C17"/>
  <c r="P16"/>
  <c r="L16"/>
  <c r="K16"/>
  <c r="D16"/>
  <c r="C16"/>
  <c r="P15"/>
  <c r="L15"/>
  <c r="K15"/>
  <c r="D15"/>
  <c r="C15"/>
  <c r="P14"/>
  <c r="L14"/>
  <c r="P13"/>
  <c r="L13"/>
  <c r="P12"/>
  <c r="L12"/>
  <c r="K12"/>
  <c r="D12"/>
  <c r="C12"/>
  <c r="P11"/>
  <c r="L11"/>
  <c r="K11"/>
  <c r="D11"/>
  <c r="C11"/>
  <c r="P10"/>
  <c r="L10"/>
  <c r="K10"/>
  <c r="D10"/>
  <c r="C10"/>
  <c r="P9"/>
  <c r="L9"/>
  <c r="K9"/>
  <c r="D9"/>
  <c r="C9"/>
  <c r="P8"/>
  <c r="L8"/>
  <c r="K8"/>
  <c r="D8"/>
  <c r="C8"/>
  <c r="P7"/>
  <c r="L7"/>
  <c r="K7"/>
  <c r="D7"/>
  <c r="C7"/>
  <c r="P6"/>
  <c r="L6"/>
  <c r="K6"/>
  <c r="D6"/>
  <c r="C6"/>
  <c r="P5"/>
  <c r="L5"/>
  <c r="K5"/>
  <c r="D5"/>
  <c r="C5"/>
  <c r="P4"/>
  <c r="L4"/>
  <c r="K4"/>
  <c r="D4"/>
  <c r="C4"/>
  <c r="N3"/>
  <c r="L3"/>
  <c r="K3"/>
  <c r="E3"/>
  <c r="D3"/>
  <c r="O36" i="4"/>
  <c r="M36"/>
  <c r="F36"/>
  <c r="E36"/>
  <c r="D36"/>
  <c r="C36"/>
  <c r="T35"/>
  <c r="P35"/>
  <c r="O35"/>
  <c r="M35"/>
  <c r="E35"/>
  <c r="C35"/>
  <c r="T34"/>
  <c r="P34"/>
  <c r="O34"/>
  <c r="M34"/>
  <c r="E34"/>
  <c r="C34"/>
  <c r="T33"/>
  <c r="P33"/>
  <c r="O33"/>
  <c r="M33"/>
  <c r="E33"/>
  <c r="C33"/>
  <c r="T32"/>
  <c r="P32"/>
  <c r="O32"/>
  <c r="M32"/>
  <c r="E32"/>
  <c r="C32"/>
  <c r="T31"/>
  <c r="P31"/>
  <c r="O31"/>
  <c r="M31"/>
  <c r="E31"/>
  <c r="D31"/>
  <c r="C31"/>
  <c r="T30"/>
  <c r="P30"/>
  <c r="O30"/>
  <c r="M30"/>
  <c r="E30"/>
  <c r="C30"/>
  <c r="T29"/>
  <c r="P29"/>
  <c r="O29"/>
  <c r="M29"/>
  <c r="E29"/>
  <c r="C29"/>
  <c r="T28"/>
  <c r="P28"/>
  <c r="O28"/>
  <c r="M28"/>
  <c r="E28"/>
  <c r="C28"/>
  <c r="T27"/>
  <c r="P27"/>
  <c r="O27"/>
  <c r="M27"/>
  <c r="E27"/>
  <c r="D27"/>
  <c r="C27"/>
  <c r="T26"/>
  <c r="P26"/>
  <c r="O26"/>
  <c r="M26"/>
  <c r="E26"/>
  <c r="C26"/>
  <c r="T25"/>
  <c r="P25"/>
  <c r="O25"/>
  <c r="M25"/>
  <c r="E25"/>
  <c r="C25"/>
  <c r="T24"/>
  <c r="P24"/>
  <c r="O24"/>
  <c r="M24"/>
  <c r="E24"/>
  <c r="C24"/>
  <c r="T23"/>
  <c r="P23"/>
  <c r="O23"/>
  <c r="M23"/>
  <c r="E23"/>
  <c r="C23"/>
  <c r="T22"/>
  <c r="P22"/>
  <c r="O22"/>
  <c r="M22"/>
  <c r="E22"/>
  <c r="C22"/>
  <c r="T21"/>
  <c r="P21"/>
  <c r="O21"/>
  <c r="M21"/>
  <c r="E21"/>
  <c r="D21"/>
  <c r="C21"/>
  <c r="T20"/>
  <c r="P20"/>
  <c r="O20"/>
  <c r="M20"/>
  <c r="E20"/>
  <c r="C20"/>
  <c r="T19"/>
  <c r="P19"/>
  <c r="O19"/>
  <c r="M19"/>
  <c r="E19"/>
  <c r="C19"/>
  <c r="M17"/>
  <c r="F17"/>
  <c r="E17"/>
  <c r="D17"/>
  <c r="C17"/>
  <c r="T16"/>
  <c r="P16"/>
  <c r="O16"/>
  <c r="M16"/>
  <c r="E16"/>
  <c r="C16"/>
  <c r="T15"/>
  <c r="P15"/>
  <c r="O15"/>
  <c r="M15"/>
  <c r="E15"/>
  <c r="C15"/>
  <c r="T14"/>
  <c r="P14"/>
  <c r="O14"/>
  <c r="M14"/>
  <c r="E14"/>
  <c r="D14"/>
  <c r="C14"/>
  <c r="T13"/>
  <c r="P13"/>
  <c r="O13"/>
  <c r="M13"/>
  <c r="E13"/>
  <c r="C13"/>
  <c r="T12"/>
  <c r="P12"/>
  <c r="O12"/>
  <c r="M12"/>
  <c r="E12"/>
  <c r="C12"/>
  <c r="T11"/>
  <c r="P11"/>
  <c r="O11"/>
  <c r="M11"/>
  <c r="E11"/>
  <c r="C11"/>
  <c r="T10"/>
  <c r="P10"/>
  <c r="O10"/>
  <c r="M10"/>
  <c r="E10"/>
  <c r="D10"/>
  <c r="C10"/>
  <c r="T9"/>
  <c r="P9"/>
  <c r="O9"/>
  <c r="M9"/>
  <c r="E9"/>
  <c r="C9"/>
  <c r="T8"/>
  <c r="P8"/>
  <c r="O8"/>
  <c r="M8"/>
  <c r="E8"/>
  <c r="C8"/>
  <c r="T7"/>
  <c r="P7"/>
  <c r="O7"/>
  <c r="M7"/>
  <c r="E7"/>
  <c r="D7"/>
  <c r="C7"/>
  <c r="T6"/>
  <c r="P6"/>
  <c r="O6"/>
  <c r="M6"/>
  <c r="E6"/>
  <c r="C6"/>
  <c r="T5"/>
  <c r="P5"/>
  <c r="O5"/>
  <c r="M5"/>
  <c r="E5"/>
  <c r="C5"/>
  <c r="S3"/>
  <c r="Q3"/>
  <c r="P3"/>
  <c r="F3"/>
  <c r="E3"/>
  <c r="D3"/>
  <c r="C3"/>
  <c r="M38" i="6"/>
  <c r="D38"/>
  <c r="M37"/>
  <c r="L37"/>
  <c r="D37"/>
  <c r="M36"/>
  <c r="L36"/>
  <c r="D36"/>
  <c r="M35"/>
  <c r="L35"/>
  <c r="D35"/>
  <c r="M34"/>
  <c r="L34"/>
  <c r="D34"/>
  <c r="M33"/>
  <c r="L33"/>
  <c r="D33"/>
  <c r="M32"/>
  <c r="L32"/>
  <c r="D32"/>
  <c r="M31"/>
  <c r="L31"/>
  <c r="D31"/>
  <c r="M30"/>
  <c r="L30"/>
  <c r="D30"/>
  <c r="M29"/>
  <c r="L29"/>
  <c r="D29"/>
  <c r="M28"/>
  <c r="L28"/>
  <c r="D28"/>
  <c r="M27"/>
  <c r="L27"/>
  <c r="D27"/>
  <c r="M26"/>
  <c r="L26"/>
  <c r="D26"/>
  <c r="M25"/>
  <c r="L25"/>
  <c r="D25"/>
  <c r="M24"/>
  <c r="L24"/>
  <c r="D24"/>
  <c r="M23"/>
  <c r="L23"/>
  <c r="D23"/>
  <c r="M22"/>
  <c r="L22"/>
  <c r="D22"/>
  <c r="M21"/>
  <c r="L21"/>
  <c r="D21"/>
  <c r="M19"/>
  <c r="D19"/>
  <c r="M18"/>
  <c r="L18"/>
  <c r="D18"/>
  <c r="M17"/>
  <c r="L17"/>
  <c r="D17"/>
  <c r="M16"/>
  <c r="L16"/>
  <c r="D16"/>
  <c r="M15"/>
  <c r="L15"/>
  <c r="D15"/>
  <c r="M14"/>
  <c r="L14"/>
  <c r="D14"/>
  <c r="M13"/>
  <c r="L13"/>
  <c r="D13"/>
  <c r="M12"/>
  <c r="L12"/>
  <c r="D12"/>
  <c r="M11"/>
  <c r="L11"/>
  <c r="D11"/>
  <c r="M10"/>
  <c r="L10"/>
  <c r="D10"/>
  <c r="M9"/>
  <c r="L9"/>
  <c r="D9"/>
  <c r="M8"/>
  <c r="L8"/>
  <c r="D8"/>
  <c r="M7"/>
  <c r="L7"/>
  <c r="D7"/>
  <c r="D5"/>
  <c r="F40" i="7"/>
  <c r="E40"/>
  <c r="D40"/>
  <c r="O39"/>
  <c r="F39"/>
  <c r="E39"/>
  <c r="D39"/>
  <c r="O38"/>
  <c r="N38"/>
  <c r="F38"/>
  <c r="E38"/>
  <c r="D38"/>
  <c r="O37"/>
  <c r="N37"/>
  <c r="F37"/>
  <c r="E37"/>
  <c r="D37"/>
  <c r="O36"/>
  <c r="N36"/>
  <c r="F36"/>
  <c r="D36"/>
  <c r="O35"/>
  <c r="N35"/>
  <c r="F35"/>
  <c r="E35"/>
  <c r="D35"/>
  <c r="O34"/>
  <c r="N34"/>
  <c r="F34"/>
  <c r="E34"/>
  <c r="D34"/>
  <c r="O33"/>
  <c r="N33"/>
  <c r="F33"/>
  <c r="E33"/>
  <c r="D33"/>
  <c r="O32"/>
  <c r="N32"/>
  <c r="F32"/>
  <c r="E32"/>
  <c r="D32"/>
  <c r="O31"/>
  <c r="N31"/>
  <c r="F31"/>
  <c r="E31"/>
  <c r="D31"/>
  <c r="O30"/>
  <c r="N30"/>
  <c r="F30"/>
  <c r="E30"/>
  <c r="D30"/>
  <c r="O29"/>
  <c r="N29"/>
  <c r="F29"/>
  <c r="E29"/>
  <c r="D29"/>
  <c r="O28"/>
  <c r="N28"/>
  <c r="F28"/>
  <c r="E28"/>
  <c r="D28"/>
  <c r="O27"/>
  <c r="N27"/>
  <c r="F27"/>
  <c r="E27"/>
  <c r="D27"/>
  <c r="O26"/>
  <c r="N26"/>
  <c r="F26"/>
  <c r="E26"/>
  <c r="D26"/>
  <c r="O25"/>
  <c r="N25"/>
  <c r="F25"/>
  <c r="E25"/>
  <c r="D25"/>
  <c r="O24"/>
  <c r="N24"/>
  <c r="F24"/>
  <c r="E24"/>
  <c r="D24"/>
  <c r="O23"/>
  <c r="N23"/>
  <c r="E23"/>
  <c r="D23"/>
  <c r="O22"/>
  <c r="N22"/>
  <c r="F22"/>
  <c r="E22"/>
  <c r="D22"/>
  <c r="O20"/>
  <c r="F20"/>
  <c r="E20"/>
  <c r="D20"/>
  <c r="O19"/>
  <c r="N19"/>
  <c r="F19"/>
  <c r="D19"/>
  <c r="O18"/>
  <c r="N18"/>
  <c r="F18"/>
  <c r="E18"/>
  <c r="D18"/>
  <c r="O17"/>
  <c r="N17"/>
  <c r="F17"/>
  <c r="E17"/>
  <c r="D17"/>
  <c r="O16"/>
  <c r="N16"/>
  <c r="F16"/>
  <c r="E16"/>
  <c r="D16"/>
  <c r="O15"/>
  <c r="N15"/>
  <c r="F15"/>
  <c r="E15"/>
  <c r="D15"/>
  <c r="O14"/>
  <c r="N14"/>
  <c r="F14"/>
  <c r="E14"/>
  <c r="D14"/>
  <c r="O13"/>
  <c r="N13"/>
  <c r="F13"/>
  <c r="D13"/>
  <c r="O12"/>
  <c r="N12"/>
  <c r="F12"/>
  <c r="E12"/>
  <c r="D12"/>
  <c r="O11"/>
  <c r="N11"/>
  <c r="F11"/>
  <c r="E11"/>
  <c r="D11"/>
  <c r="O10"/>
  <c r="N10"/>
  <c r="F10"/>
  <c r="E10"/>
  <c r="D10"/>
  <c r="O9"/>
  <c r="N9"/>
  <c r="F9"/>
  <c r="E9"/>
  <c r="D9"/>
  <c r="O8"/>
  <c r="N8"/>
  <c r="F8"/>
  <c r="E8"/>
  <c r="D8"/>
  <c r="F6"/>
  <c r="C38" i="14"/>
  <c r="O37"/>
  <c r="I37"/>
  <c r="F37"/>
  <c r="E37"/>
  <c r="D37"/>
  <c r="C37"/>
  <c r="O36"/>
  <c r="I36"/>
  <c r="F36"/>
  <c r="E36"/>
  <c r="D36"/>
  <c r="O35"/>
  <c r="I35"/>
  <c r="F35"/>
  <c r="E35"/>
  <c r="D35"/>
  <c r="O34"/>
  <c r="I34"/>
  <c r="F34"/>
  <c r="E34"/>
  <c r="D34"/>
  <c r="O33"/>
  <c r="I33"/>
  <c r="F33"/>
  <c r="E33"/>
  <c r="D33"/>
  <c r="O32"/>
  <c r="I32"/>
  <c r="F32"/>
  <c r="E32"/>
  <c r="D32"/>
  <c r="C32"/>
  <c r="O31"/>
  <c r="I31"/>
  <c r="F31"/>
  <c r="E31"/>
  <c r="D31"/>
  <c r="C31"/>
  <c r="O30"/>
  <c r="I30"/>
  <c r="F30"/>
  <c r="E30"/>
  <c r="D30"/>
  <c r="C30"/>
  <c r="O29"/>
  <c r="I29"/>
  <c r="F29"/>
  <c r="E29"/>
  <c r="D29"/>
  <c r="I28"/>
  <c r="E28"/>
  <c r="C28"/>
  <c r="O27"/>
  <c r="I27"/>
  <c r="F27"/>
  <c r="E27"/>
  <c r="D27"/>
  <c r="O26"/>
  <c r="I26"/>
  <c r="F26"/>
  <c r="E26"/>
  <c r="D26"/>
  <c r="O25"/>
  <c r="I25"/>
  <c r="F25"/>
  <c r="E25"/>
  <c r="D25"/>
  <c r="O24"/>
  <c r="I24"/>
  <c r="F24"/>
  <c r="E24"/>
  <c r="D24"/>
  <c r="C24"/>
  <c r="O23"/>
  <c r="I23"/>
  <c r="F23"/>
  <c r="E23"/>
  <c r="D23"/>
  <c r="O22"/>
  <c r="I22"/>
  <c r="F22"/>
  <c r="E22"/>
  <c r="D22"/>
  <c r="C22"/>
  <c r="O21"/>
  <c r="I21"/>
  <c r="F21"/>
  <c r="E21"/>
  <c r="D21"/>
  <c r="C21"/>
  <c r="O20"/>
  <c r="I20"/>
  <c r="F20"/>
  <c r="E20"/>
  <c r="D20"/>
  <c r="C20"/>
  <c r="I19"/>
  <c r="C19"/>
  <c r="O18"/>
  <c r="I18"/>
  <c r="F18"/>
  <c r="E18"/>
  <c r="D18"/>
  <c r="C18"/>
  <c r="O17"/>
  <c r="I17"/>
  <c r="F17"/>
  <c r="E17"/>
  <c r="D17"/>
  <c r="C17"/>
  <c r="O16"/>
  <c r="I16"/>
  <c r="F16"/>
  <c r="E16"/>
  <c r="D16"/>
  <c r="C16"/>
  <c r="O15"/>
  <c r="I15"/>
  <c r="F15"/>
  <c r="E15"/>
  <c r="D15"/>
  <c r="C15"/>
  <c r="O14"/>
  <c r="I14"/>
  <c r="F14"/>
  <c r="E14"/>
  <c r="D14"/>
  <c r="C14"/>
  <c r="O13"/>
  <c r="I13"/>
  <c r="F13"/>
  <c r="E13"/>
  <c r="D13"/>
  <c r="C13"/>
  <c r="O12"/>
  <c r="I12"/>
  <c r="F12"/>
  <c r="E12"/>
  <c r="D12"/>
  <c r="O11"/>
  <c r="I11"/>
  <c r="F11"/>
  <c r="E11"/>
  <c r="D11"/>
  <c r="C11"/>
  <c r="O10"/>
  <c r="I10"/>
  <c r="F10"/>
  <c r="E10"/>
  <c r="D10"/>
  <c r="C10"/>
  <c r="O9"/>
  <c r="I9"/>
  <c r="F9"/>
  <c r="E9"/>
  <c r="D9"/>
  <c r="C9"/>
  <c r="O8"/>
  <c r="I8"/>
  <c r="F8"/>
  <c r="E8"/>
  <c r="D8"/>
  <c r="C8"/>
  <c r="O7"/>
  <c r="I7"/>
  <c r="F7"/>
  <c r="E7"/>
  <c r="D7"/>
  <c r="C7"/>
  <c r="O6"/>
  <c r="J6"/>
  <c r="I6"/>
  <c r="H6"/>
  <c r="F6"/>
  <c r="E6"/>
  <c r="D6"/>
  <c r="C6"/>
  <c r="F40" i="8"/>
  <c r="E40"/>
  <c r="P39"/>
  <c r="H39"/>
  <c r="F39"/>
  <c r="E39"/>
  <c r="D39"/>
  <c r="P38"/>
  <c r="O38"/>
  <c r="F38"/>
  <c r="E38"/>
  <c r="D38"/>
  <c r="P37"/>
  <c r="O37"/>
  <c r="F37"/>
  <c r="E37"/>
  <c r="D37"/>
  <c r="P36"/>
  <c r="O36"/>
  <c r="F36"/>
  <c r="D36"/>
  <c r="P35"/>
  <c r="O35"/>
  <c r="F35"/>
  <c r="E35"/>
  <c r="D35"/>
  <c r="P34"/>
  <c r="O34"/>
  <c r="F34"/>
  <c r="E34"/>
  <c r="D34"/>
  <c r="P33"/>
  <c r="O33"/>
  <c r="F33"/>
  <c r="E33"/>
  <c r="D33"/>
  <c r="P32"/>
  <c r="O32"/>
  <c r="F32"/>
  <c r="E32"/>
  <c r="D32"/>
  <c r="P31"/>
  <c r="O31"/>
  <c r="F31"/>
  <c r="E31"/>
  <c r="D31"/>
  <c r="P30"/>
  <c r="O30"/>
  <c r="F30"/>
  <c r="E30"/>
  <c r="D30"/>
  <c r="P29"/>
  <c r="O29"/>
  <c r="F29"/>
  <c r="E29"/>
  <c r="D29"/>
  <c r="P28"/>
  <c r="O28"/>
  <c r="F28"/>
  <c r="E28"/>
  <c r="D28"/>
  <c r="P27"/>
  <c r="O27"/>
  <c r="F27"/>
  <c r="E27"/>
  <c r="D27"/>
  <c r="P26"/>
  <c r="O26"/>
  <c r="F26"/>
  <c r="E26"/>
  <c r="D26"/>
  <c r="P25"/>
  <c r="O25"/>
  <c r="F25"/>
  <c r="E25"/>
  <c r="D25"/>
  <c r="P24"/>
  <c r="O24"/>
  <c r="F24"/>
  <c r="E24"/>
  <c r="D24"/>
  <c r="P23"/>
  <c r="O23"/>
  <c r="E23"/>
  <c r="D23"/>
  <c r="P22"/>
  <c r="O22"/>
  <c r="F22"/>
  <c r="E22"/>
  <c r="D22"/>
  <c r="P20"/>
  <c r="H20"/>
  <c r="F20"/>
  <c r="E20"/>
  <c r="D20"/>
  <c r="P19"/>
  <c r="O19"/>
  <c r="F19"/>
  <c r="D19"/>
  <c r="P18"/>
  <c r="O18"/>
  <c r="F18"/>
  <c r="E18"/>
  <c r="D18"/>
  <c r="P17"/>
  <c r="O17"/>
  <c r="F17"/>
  <c r="E17"/>
  <c r="D17"/>
  <c r="P16"/>
  <c r="O16"/>
  <c r="F16"/>
  <c r="E16"/>
  <c r="D16"/>
  <c r="P15"/>
  <c r="O15"/>
  <c r="F15"/>
  <c r="E15"/>
  <c r="D15"/>
  <c r="P14"/>
  <c r="O14"/>
  <c r="F14"/>
  <c r="E14"/>
  <c r="D14"/>
  <c r="P13"/>
  <c r="O13"/>
  <c r="F13"/>
  <c r="D13"/>
  <c r="P12"/>
  <c r="O12"/>
  <c r="F12"/>
  <c r="E12"/>
  <c r="D12"/>
  <c r="P11"/>
  <c r="O11"/>
  <c r="F11"/>
  <c r="E11"/>
  <c r="D11"/>
  <c r="P10"/>
  <c r="O10"/>
  <c r="F10"/>
  <c r="E10"/>
  <c r="D10"/>
  <c r="P9"/>
  <c r="O9"/>
  <c r="F9"/>
  <c r="E9"/>
  <c r="D9"/>
  <c r="P8"/>
  <c r="O8"/>
  <c r="F8"/>
  <c r="E8"/>
  <c r="D8"/>
  <c r="F6"/>
  <c r="D6"/>
  <c r="K42" i="9"/>
  <c r="K41"/>
  <c r="K40"/>
  <c r="J39"/>
  <c r="I39"/>
  <c r="E38"/>
  <c r="U37"/>
  <c r="T37"/>
  <c r="S37"/>
  <c r="M37"/>
  <c r="J37"/>
  <c r="I37"/>
  <c r="H37"/>
  <c r="G37"/>
  <c r="F37"/>
  <c r="E37"/>
  <c r="U36"/>
  <c r="T36"/>
  <c r="S36"/>
  <c r="M36"/>
  <c r="J36"/>
  <c r="I36"/>
  <c r="H36"/>
  <c r="G36"/>
  <c r="E36"/>
  <c r="U35"/>
  <c r="T35"/>
  <c r="S35"/>
  <c r="M35"/>
  <c r="J35"/>
  <c r="H35"/>
  <c r="G35"/>
  <c r="E35"/>
  <c r="U34"/>
  <c r="T34"/>
  <c r="S34"/>
  <c r="M34"/>
  <c r="J34"/>
  <c r="I34"/>
  <c r="H34"/>
  <c r="G34"/>
  <c r="E34"/>
  <c r="U33"/>
  <c r="T33"/>
  <c r="S33"/>
  <c r="M33"/>
  <c r="J33"/>
  <c r="I33"/>
  <c r="H33"/>
  <c r="G33"/>
  <c r="E33"/>
  <c r="U32"/>
  <c r="T32"/>
  <c r="S32"/>
  <c r="M32"/>
  <c r="J32"/>
  <c r="I32"/>
  <c r="H32"/>
  <c r="G32"/>
  <c r="E32"/>
  <c r="U31"/>
  <c r="T31"/>
  <c r="S31"/>
  <c r="M31"/>
  <c r="J31"/>
  <c r="I31"/>
  <c r="H31"/>
  <c r="G31"/>
  <c r="F31"/>
  <c r="E31"/>
  <c r="U30"/>
  <c r="T30"/>
  <c r="S30"/>
  <c r="M30"/>
  <c r="J30"/>
  <c r="I30"/>
  <c r="H30"/>
  <c r="G30"/>
  <c r="F30"/>
  <c r="E30"/>
  <c r="U29"/>
  <c r="T29"/>
  <c r="S29"/>
  <c r="M29"/>
  <c r="I29"/>
  <c r="H29"/>
  <c r="G29"/>
  <c r="E29"/>
  <c r="F28"/>
  <c r="E28"/>
  <c r="U27"/>
  <c r="M27"/>
  <c r="J27"/>
  <c r="I27"/>
  <c r="H27"/>
  <c r="G27"/>
  <c r="F27"/>
  <c r="E27"/>
  <c r="U26"/>
  <c r="T26"/>
  <c r="M26"/>
  <c r="J26"/>
  <c r="H26"/>
  <c r="G26"/>
  <c r="E26"/>
  <c r="U25"/>
  <c r="T25"/>
  <c r="S25"/>
  <c r="M25"/>
  <c r="J25"/>
  <c r="I25"/>
  <c r="H25"/>
  <c r="G25"/>
  <c r="E25"/>
  <c r="U24"/>
  <c r="T24"/>
  <c r="S24"/>
  <c r="M24"/>
  <c r="J24"/>
  <c r="I24"/>
  <c r="H24"/>
  <c r="G24"/>
  <c r="F24"/>
  <c r="E24"/>
  <c r="U23"/>
  <c r="T23"/>
  <c r="S23"/>
  <c r="M23"/>
  <c r="J23"/>
  <c r="I23"/>
  <c r="H23"/>
  <c r="G23"/>
  <c r="E23"/>
  <c r="U22"/>
  <c r="T22"/>
  <c r="S22"/>
  <c r="M22"/>
  <c r="J22"/>
  <c r="I22"/>
  <c r="H22"/>
  <c r="G22"/>
  <c r="F22"/>
  <c r="E22"/>
  <c r="U21"/>
  <c r="T21"/>
  <c r="S21"/>
  <c r="M21"/>
  <c r="J21"/>
  <c r="I21"/>
  <c r="H21"/>
  <c r="G21"/>
  <c r="F21"/>
  <c r="E21"/>
  <c r="U20"/>
  <c r="T20"/>
  <c r="S20"/>
  <c r="M20"/>
  <c r="J20"/>
  <c r="I20"/>
  <c r="H20"/>
  <c r="G20"/>
  <c r="F20"/>
  <c r="E20"/>
  <c r="U19"/>
  <c r="T19"/>
  <c r="S19"/>
  <c r="M19"/>
  <c r="J19"/>
  <c r="I19"/>
  <c r="H19"/>
  <c r="G19"/>
  <c r="F19"/>
  <c r="E19"/>
  <c r="F18"/>
  <c r="E18"/>
  <c r="U17"/>
  <c r="T17"/>
  <c r="S17"/>
  <c r="M17"/>
  <c r="J17"/>
  <c r="I17"/>
  <c r="H17"/>
  <c r="G17"/>
  <c r="F17"/>
  <c r="E17"/>
  <c r="U16"/>
  <c r="T16"/>
  <c r="S16"/>
  <c r="M16"/>
  <c r="J16"/>
  <c r="I16"/>
  <c r="H16"/>
  <c r="G16"/>
  <c r="F16"/>
  <c r="E16"/>
  <c r="U15"/>
  <c r="T15"/>
  <c r="S15"/>
  <c r="M15"/>
  <c r="J15"/>
  <c r="I15"/>
  <c r="H15"/>
  <c r="G15"/>
  <c r="F15"/>
  <c r="E15"/>
  <c r="U14"/>
  <c r="T14"/>
  <c r="S14"/>
  <c r="M14"/>
  <c r="J14"/>
  <c r="I14"/>
  <c r="H14"/>
  <c r="G14"/>
  <c r="F14"/>
  <c r="E14"/>
  <c r="U13"/>
  <c r="T13"/>
  <c r="S13"/>
  <c r="M13"/>
  <c r="J13"/>
  <c r="I13"/>
  <c r="H13"/>
  <c r="G13"/>
  <c r="F13"/>
  <c r="E13"/>
  <c r="U12"/>
  <c r="T12"/>
  <c r="S12"/>
  <c r="M12"/>
  <c r="J12"/>
  <c r="H12"/>
  <c r="G12"/>
  <c r="U11"/>
  <c r="T11"/>
  <c r="S11"/>
  <c r="M11"/>
  <c r="J11"/>
  <c r="I11"/>
  <c r="H11"/>
  <c r="G11"/>
  <c r="F11"/>
  <c r="E11"/>
  <c r="U10"/>
  <c r="T10"/>
  <c r="S10"/>
  <c r="M10"/>
  <c r="J10"/>
  <c r="I10"/>
  <c r="H10"/>
  <c r="G10"/>
  <c r="F10"/>
  <c r="E10"/>
  <c r="U9"/>
  <c r="T9"/>
  <c r="S9"/>
  <c r="M9"/>
  <c r="J9"/>
  <c r="I9"/>
  <c r="H9"/>
  <c r="G9"/>
  <c r="F9"/>
  <c r="E9"/>
  <c r="U8"/>
  <c r="T8"/>
  <c r="S8"/>
  <c r="M8"/>
  <c r="J8"/>
  <c r="I8"/>
  <c r="H8"/>
  <c r="G8"/>
  <c r="F8"/>
  <c r="E8"/>
  <c r="U7"/>
  <c r="T7"/>
  <c r="S7"/>
  <c r="M7"/>
  <c r="J7"/>
  <c r="I7"/>
  <c r="H7"/>
  <c r="G7"/>
  <c r="F7"/>
  <c r="E7"/>
  <c r="U6"/>
  <c r="N6"/>
  <c r="M6"/>
  <c r="L6"/>
  <c r="J6"/>
  <c r="H6"/>
  <c r="G6"/>
  <c r="F6"/>
  <c r="E6"/>
  <c r="E38" i="12"/>
  <c r="D38"/>
  <c r="R37"/>
  <c r="Q37"/>
  <c r="P37"/>
  <c r="J37"/>
  <c r="G37"/>
  <c r="F37"/>
  <c r="E37"/>
  <c r="D37"/>
  <c r="R36"/>
  <c r="Q36"/>
  <c r="P36"/>
  <c r="J36"/>
  <c r="G36"/>
  <c r="F36"/>
  <c r="E36"/>
  <c r="R35"/>
  <c r="Q35"/>
  <c r="P35"/>
  <c r="J35"/>
  <c r="G35"/>
  <c r="F35"/>
  <c r="E35"/>
  <c r="R34"/>
  <c r="Q34"/>
  <c r="P34"/>
  <c r="J34"/>
  <c r="G34"/>
  <c r="F34"/>
  <c r="E34"/>
  <c r="R33"/>
  <c r="Q33"/>
  <c r="P33"/>
  <c r="J33"/>
  <c r="G33"/>
  <c r="F33"/>
  <c r="E33"/>
  <c r="R32"/>
  <c r="Q32"/>
  <c r="P32"/>
  <c r="J32"/>
  <c r="G32"/>
  <c r="F32"/>
  <c r="E32"/>
  <c r="D32"/>
  <c r="R31"/>
  <c r="Q31"/>
  <c r="P31"/>
  <c r="J31"/>
  <c r="G31"/>
  <c r="F31"/>
  <c r="E31"/>
  <c r="D31"/>
  <c r="R30"/>
  <c r="Q30"/>
  <c r="P30"/>
  <c r="J30"/>
  <c r="G30"/>
  <c r="F30"/>
  <c r="E30"/>
  <c r="D30"/>
  <c r="R29"/>
  <c r="Q29"/>
  <c r="P29"/>
  <c r="J29"/>
  <c r="G29"/>
  <c r="F29"/>
  <c r="E29"/>
  <c r="D28"/>
  <c r="R27"/>
  <c r="J27"/>
  <c r="G27"/>
  <c r="F27"/>
  <c r="E27"/>
  <c r="R26"/>
  <c r="Q26"/>
  <c r="J26"/>
  <c r="G26"/>
  <c r="F26"/>
  <c r="E26"/>
  <c r="R25"/>
  <c r="Q25"/>
  <c r="P25"/>
  <c r="J25"/>
  <c r="G25"/>
  <c r="F25"/>
  <c r="E25"/>
  <c r="R24"/>
  <c r="Q24"/>
  <c r="P24"/>
  <c r="J24"/>
  <c r="G24"/>
  <c r="F24"/>
  <c r="E24"/>
  <c r="D24"/>
  <c r="R23"/>
  <c r="Q23"/>
  <c r="P23"/>
  <c r="J23"/>
  <c r="G23"/>
  <c r="F23"/>
  <c r="E23"/>
  <c r="R22"/>
  <c r="Q22"/>
  <c r="P22"/>
  <c r="J22"/>
  <c r="G22"/>
  <c r="F22"/>
  <c r="E22"/>
  <c r="D22"/>
  <c r="R21"/>
  <c r="Q21"/>
  <c r="P21"/>
  <c r="J21"/>
  <c r="G21"/>
  <c r="F21"/>
  <c r="E21"/>
  <c r="D21"/>
  <c r="R20"/>
  <c r="Q20"/>
  <c r="P20"/>
  <c r="J20"/>
  <c r="G20"/>
  <c r="F20"/>
  <c r="E20"/>
  <c r="D20"/>
  <c r="R19"/>
  <c r="Q19"/>
  <c r="P19"/>
  <c r="J19"/>
  <c r="G19"/>
  <c r="F19"/>
  <c r="E19"/>
  <c r="D19"/>
  <c r="D18"/>
  <c r="R17"/>
  <c r="Q17"/>
  <c r="P17"/>
  <c r="J17"/>
  <c r="G17"/>
  <c r="F17"/>
  <c r="E17"/>
  <c r="D17"/>
  <c r="R16"/>
  <c r="Q16"/>
  <c r="P16"/>
  <c r="J16"/>
  <c r="G16"/>
  <c r="F16"/>
  <c r="E16"/>
  <c r="D16"/>
  <c r="R15"/>
  <c r="Q15"/>
  <c r="P15"/>
  <c r="J15"/>
  <c r="G15"/>
  <c r="F15"/>
  <c r="E15"/>
  <c r="D15"/>
  <c r="R14"/>
  <c r="Q14"/>
  <c r="P14"/>
  <c r="J14"/>
  <c r="G14"/>
  <c r="F14"/>
  <c r="E14"/>
  <c r="D14"/>
  <c r="R13"/>
  <c r="Q13"/>
  <c r="P13"/>
  <c r="J13"/>
  <c r="G13"/>
  <c r="F13"/>
  <c r="E13"/>
  <c r="D13"/>
  <c r="R12"/>
  <c r="Q12"/>
  <c r="P12"/>
  <c r="J12"/>
  <c r="G12"/>
  <c r="F12"/>
  <c r="E12"/>
  <c r="R11"/>
  <c r="Q11"/>
  <c r="P11"/>
  <c r="J11"/>
  <c r="G11"/>
  <c r="F11"/>
  <c r="E11"/>
  <c r="D11"/>
  <c r="R10"/>
  <c r="Q10"/>
  <c r="P10"/>
  <c r="J10"/>
  <c r="G10"/>
  <c r="F10"/>
  <c r="E10"/>
  <c r="D10"/>
  <c r="R9"/>
  <c r="Q9"/>
  <c r="P9"/>
  <c r="J9"/>
  <c r="G9"/>
  <c r="F9"/>
  <c r="E9"/>
  <c r="D9"/>
  <c r="R8"/>
  <c r="Q8"/>
  <c r="P8"/>
  <c r="J8"/>
  <c r="G8"/>
  <c r="F8"/>
  <c r="E8"/>
  <c r="D8"/>
  <c r="R7"/>
  <c r="Q7"/>
  <c r="P7"/>
  <c r="J7"/>
  <c r="G7"/>
  <c r="F7"/>
  <c r="E7"/>
  <c r="D7"/>
  <c r="R6"/>
  <c r="K6"/>
  <c r="J6"/>
  <c r="I6"/>
  <c r="G6"/>
  <c r="F6"/>
  <c r="E6"/>
  <c r="D6"/>
  <c r="C38" i="11"/>
  <c r="Q37"/>
  <c r="P37"/>
  <c r="O37"/>
  <c r="I37"/>
  <c r="F37"/>
  <c r="E37"/>
  <c r="D37"/>
  <c r="C37"/>
  <c r="Q36"/>
  <c r="P36"/>
  <c r="O36"/>
  <c r="I36"/>
  <c r="F36"/>
  <c r="E36"/>
  <c r="D36"/>
  <c r="Q35"/>
  <c r="P35"/>
  <c r="O35"/>
  <c r="I35"/>
  <c r="F35"/>
  <c r="E35"/>
  <c r="D35"/>
  <c r="Q34"/>
  <c r="P34"/>
  <c r="O34"/>
  <c r="I34"/>
  <c r="F34"/>
  <c r="E34"/>
  <c r="D34"/>
  <c r="Q33"/>
  <c r="P33"/>
  <c r="O33"/>
  <c r="I33"/>
  <c r="F33"/>
  <c r="E33"/>
  <c r="D33"/>
  <c r="Q32"/>
  <c r="P32"/>
  <c r="O32"/>
  <c r="I32"/>
  <c r="F32"/>
  <c r="E32"/>
  <c r="D32"/>
  <c r="C32"/>
  <c r="Q31"/>
  <c r="P31"/>
  <c r="O31"/>
  <c r="I31"/>
  <c r="F31"/>
  <c r="E31"/>
  <c r="D31"/>
  <c r="C31"/>
  <c r="Q30"/>
  <c r="P30"/>
  <c r="O30"/>
  <c r="I30"/>
  <c r="F30"/>
  <c r="E30"/>
  <c r="D30"/>
  <c r="C30"/>
  <c r="Q29"/>
  <c r="P29"/>
  <c r="O29"/>
  <c r="I29"/>
  <c r="F29"/>
  <c r="E29"/>
  <c r="D29"/>
  <c r="C28"/>
  <c r="Q27"/>
  <c r="I27"/>
  <c r="F27"/>
  <c r="E27"/>
  <c r="D27"/>
  <c r="Q26"/>
  <c r="P26"/>
  <c r="I26"/>
  <c r="F26"/>
  <c r="E26"/>
  <c r="D26"/>
  <c r="Q25"/>
  <c r="P25"/>
  <c r="O25"/>
  <c r="I25"/>
  <c r="F25"/>
  <c r="E25"/>
  <c r="D25"/>
  <c r="Q24"/>
  <c r="P24"/>
  <c r="O24"/>
  <c r="I24"/>
  <c r="F24"/>
  <c r="E24"/>
  <c r="D24"/>
  <c r="C24"/>
  <c r="Q23"/>
  <c r="P23"/>
  <c r="O23"/>
  <c r="I23"/>
  <c r="F23"/>
  <c r="E23"/>
  <c r="D23"/>
  <c r="Q22"/>
  <c r="P22"/>
  <c r="O22"/>
  <c r="I22"/>
  <c r="F22"/>
  <c r="E22"/>
  <c r="D22"/>
  <c r="C22"/>
  <c r="Q21"/>
  <c r="P21"/>
  <c r="O21"/>
  <c r="I21"/>
  <c r="F21"/>
  <c r="E21"/>
  <c r="D21"/>
  <c r="C21"/>
  <c r="Q20"/>
  <c r="P20"/>
  <c r="O20"/>
  <c r="I20"/>
  <c r="F20"/>
  <c r="E20"/>
  <c r="D20"/>
  <c r="C20"/>
  <c r="C19"/>
  <c r="Q18"/>
  <c r="P18"/>
  <c r="O18"/>
  <c r="I18"/>
  <c r="F18"/>
  <c r="E18"/>
  <c r="D18"/>
  <c r="C18"/>
  <c r="Q17"/>
  <c r="P17"/>
  <c r="O17"/>
  <c r="I17"/>
  <c r="F17"/>
  <c r="E17"/>
  <c r="D17"/>
  <c r="C17"/>
  <c r="Q16"/>
  <c r="P16"/>
  <c r="O16"/>
  <c r="I16"/>
  <c r="F16"/>
  <c r="E16"/>
  <c r="D16"/>
  <c r="C16"/>
  <c r="Q15"/>
  <c r="P15"/>
  <c r="O15"/>
  <c r="I15"/>
  <c r="F15"/>
  <c r="E15"/>
  <c r="D15"/>
  <c r="C15"/>
  <c r="Q14"/>
  <c r="P14"/>
  <c r="O14"/>
  <c r="I14"/>
  <c r="F14"/>
  <c r="E14"/>
  <c r="D14"/>
  <c r="C14"/>
  <c r="Q13"/>
  <c r="P13"/>
  <c r="O13"/>
  <c r="I13"/>
  <c r="F13"/>
  <c r="E13"/>
  <c r="D13"/>
  <c r="C13"/>
  <c r="Q12"/>
  <c r="P12"/>
  <c r="O12"/>
  <c r="I12"/>
  <c r="F12"/>
  <c r="E12"/>
  <c r="D12"/>
  <c r="Q11"/>
  <c r="P11"/>
  <c r="O11"/>
  <c r="I11"/>
  <c r="F11"/>
  <c r="E11"/>
  <c r="D11"/>
  <c r="C11"/>
  <c r="Q10"/>
  <c r="P10"/>
  <c r="O10"/>
  <c r="I10"/>
  <c r="F10"/>
  <c r="E10"/>
  <c r="D10"/>
  <c r="C10"/>
  <c r="Q9"/>
  <c r="P9"/>
  <c r="O9"/>
  <c r="I9"/>
  <c r="F9"/>
  <c r="E9"/>
  <c r="D9"/>
  <c r="C9"/>
  <c r="Q8"/>
  <c r="P8"/>
  <c r="O8"/>
  <c r="I8"/>
  <c r="F8"/>
  <c r="E8"/>
  <c r="D8"/>
  <c r="C8"/>
  <c r="Q7"/>
  <c r="P7"/>
  <c r="O7"/>
  <c r="I7"/>
  <c r="F7"/>
  <c r="E7"/>
  <c r="D7"/>
  <c r="C7"/>
  <c r="Q6"/>
  <c r="J6"/>
  <c r="I6"/>
  <c r="H6"/>
  <c r="F6"/>
  <c r="E6"/>
  <c r="D6"/>
  <c r="C6"/>
  <c r="C38" i="13"/>
  <c r="O37"/>
  <c r="I37"/>
  <c r="F37"/>
  <c r="E37"/>
  <c r="D37"/>
  <c r="C37"/>
  <c r="O36"/>
  <c r="I36"/>
  <c r="F36"/>
  <c r="E36"/>
  <c r="D36"/>
  <c r="O35"/>
  <c r="I35"/>
  <c r="F35"/>
  <c r="E35"/>
  <c r="D35"/>
  <c r="O34"/>
  <c r="I34"/>
  <c r="F34"/>
  <c r="E34"/>
  <c r="D34"/>
  <c r="O33"/>
  <c r="I33"/>
  <c r="F33"/>
  <c r="E33"/>
  <c r="D33"/>
  <c r="O32"/>
  <c r="I32"/>
  <c r="F32"/>
  <c r="E32"/>
  <c r="D32"/>
  <c r="C32"/>
  <c r="O31"/>
  <c r="I31"/>
  <c r="F31"/>
  <c r="E31"/>
  <c r="D31"/>
  <c r="C31"/>
  <c r="O30"/>
  <c r="I30"/>
  <c r="F30"/>
  <c r="E30"/>
  <c r="D30"/>
  <c r="C30"/>
  <c r="O29"/>
  <c r="I29"/>
  <c r="F29"/>
  <c r="E29"/>
  <c r="D29"/>
  <c r="C29"/>
  <c r="E28"/>
  <c r="C28"/>
  <c r="O27"/>
  <c r="I27"/>
  <c r="F27"/>
  <c r="E27"/>
  <c r="D27"/>
  <c r="O26"/>
  <c r="I26"/>
  <c r="F26"/>
  <c r="E26"/>
  <c r="D26"/>
  <c r="O25"/>
  <c r="I25"/>
  <c r="F25"/>
  <c r="E25"/>
  <c r="D25"/>
  <c r="O24"/>
  <c r="I24"/>
  <c r="F24"/>
  <c r="E24"/>
  <c r="D24"/>
  <c r="C24"/>
  <c r="O23"/>
  <c r="I23"/>
  <c r="F23"/>
  <c r="E23"/>
  <c r="D23"/>
  <c r="O22"/>
  <c r="I22"/>
  <c r="F22"/>
  <c r="E22"/>
  <c r="D22"/>
  <c r="C22"/>
  <c r="O21"/>
  <c r="I21"/>
  <c r="F21"/>
  <c r="E21"/>
  <c r="D21"/>
  <c r="C21"/>
  <c r="O20"/>
  <c r="I20"/>
  <c r="F20"/>
  <c r="E20"/>
  <c r="D20"/>
  <c r="C20"/>
  <c r="C19"/>
  <c r="O18"/>
  <c r="I18"/>
  <c r="F18"/>
  <c r="E18"/>
  <c r="D18"/>
  <c r="C18"/>
  <c r="O17"/>
  <c r="I17"/>
  <c r="F17"/>
  <c r="E17"/>
  <c r="D17"/>
  <c r="C17"/>
  <c r="O16"/>
  <c r="I16"/>
  <c r="F16"/>
  <c r="E16"/>
  <c r="D16"/>
  <c r="C16"/>
  <c r="O15"/>
  <c r="I15"/>
  <c r="F15"/>
  <c r="E15"/>
  <c r="D15"/>
  <c r="C15"/>
  <c r="O14"/>
  <c r="I14"/>
  <c r="F14"/>
  <c r="E14"/>
  <c r="D14"/>
  <c r="C14"/>
  <c r="O13"/>
  <c r="I13"/>
  <c r="F13"/>
  <c r="E13"/>
  <c r="D13"/>
  <c r="C13"/>
  <c r="O12"/>
  <c r="I12"/>
  <c r="F12"/>
  <c r="E12"/>
  <c r="D12"/>
  <c r="O11"/>
  <c r="I11"/>
  <c r="F11"/>
  <c r="E11"/>
  <c r="D11"/>
  <c r="C11"/>
  <c r="O10"/>
  <c r="I10"/>
  <c r="F10"/>
  <c r="E10"/>
  <c r="D10"/>
  <c r="C10"/>
  <c r="O9"/>
  <c r="I9"/>
  <c r="F9"/>
  <c r="E9"/>
  <c r="D9"/>
  <c r="C9"/>
  <c r="O8"/>
  <c r="I8"/>
  <c r="F8"/>
  <c r="E8"/>
  <c r="D8"/>
  <c r="C8"/>
  <c r="O7"/>
  <c r="I7"/>
  <c r="F7"/>
  <c r="E7"/>
  <c r="D7"/>
  <c r="C7"/>
  <c r="O6"/>
  <c r="J6"/>
  <c r="I6"/>
  <c r="H6"/>
  <c r="F6"/>
  <c r="E6"/>
  <c r="D6"/>
  <c r="C6"/>
  <c r="D37" i="15"/>
  <c r="C37"/>
  <c r="P36"/>
  <c r="J36"/>
  <c r="F36"/>
  <c r="E36"/>
  <c r="D36"/>
  <c r="C36"/>
  <c r="P35"/>
  <c r="J35"/>
  <c r="F35"/>
  <c r="E35"/>
  <c r="D35"/>
  <c r="C35"/>
  <c r="P34"/>
  <c r="J34"/>
  <c r="F34"/>
  <c r="E34"/>
  <c r="D34"/>
  <c r="P33"/>
  <c r="J33"/>
  <c r="F33"/>
  <c r="E33"/>
  <c r="D33"/>
  <c r="C33"/>
  <c r="P32"/>
  <c r="J32"/>
  <c r="F32"/>
  <c r="E32"/>
  <c r="D32"/>
  <c r="C32"/>
  <c r="P31"/>
  <c r="J31"/>
  <c r="F31"/>
  <c r="E31"/>
  <c r="D31"/>
  <c r="C31"/>
  <c r="P30"/>
  <c r="J30"/>
  <c r="F30"/>
  <c r="E30"/>
  <c r="D30"/>
  <c r="C30"/>
  <c r="P29"/>
  <c r="J29"/>
  <c r="F29"/>
  <c r="E29"/>
  <c r="D29"/>
  <c r="C29"/>
  <c r="P28"/>
  <c r="J28"/>
  <c r="F28"/>
  <c r="E28"/>
  <c r="D28"/>
  <c r="C28"/>
  <c r="P27"/>
  <c r="J27"/>
  <c r="F27"/>
  <c r="E27"/>
  <c r="D27"/>
  <c r="P26"/>
  <c r="J26"/>
  <c r="F26"/>
  <c r="E26"/>
  <c r="D26"/>
  <c r="P25"/>
  <c r="J25"/>
  <c r="F25"/>
  <c r="E25"/>
  <c r="D25"/>
  <c r="P24"/>
  <c r="J24"/>
  <c r="F24"/>
  <c r="E24"/>
  <c r="D24"/>
  <c r="C24"/>
  <c r="P23"/>
  <c r="J23"/>
  <c r="F23"/>
  <c r="E23"/>
  <c r="D23"/>
  <c r="P22"/>
  <c r="J22"/>
  <c r="F22"/>
  <c r="E22"/>
  <c r="D22"/>
  <c r="C22"/>
  <c r="P21"/>
  <c r="J21"/>
  <c r="F21"/>
  <c r="E21"/>
  <c r="D21"/>
  <c r="C21"/>
  <c r="P20"/>
  <c r="J20"/>
  <c r="F20"/>
  <c r="E20"/>
  <c r="D20"/>
  <c r="C20"/>
  <c r="P19"/>
  <c r="E19"/>
  <c r="D19"/>
  <c r="C19"/>
  <c r="P18"/>
  <c r="J18"/>
  <c r="F18"/>
  <c r="E18"/>
  <c r="D18"/>
  <c r="C18"/>
  <c r="P17"/>
  <c r="J17"/>
  <c r="F17"/>
  <c r="E17"/>
  <c r="D17"/>
  <c r="C17"/>
  <c r="P16"/>
  <c r="J16"/>
  <c r="F16"/>
  <c r="E16"/>
  <c r="D16"/>
  <c r="C16"/>
  <c r="P15"/>
  <c r="J15"/>
  <c r="F15"/>
  <c r="E15"/>
  <c r="D15"/>
  <c r="C15"/>
  <c r="P14"/>
  <c r="J14"/>
  <c r="F14"/>
  <c r="E14"/>
  <c r="D14"/>
  <c r="C14"/>
  <c r="P13"/>
  <c r="J13"/>
  <c r="F13"/>
  <c r="E13"/>
  <c r="D13"/>
  <c r="C13"/>
  <c r="P12"/>
  <c r="J12"/>
  <c r="F12"/>
  <c r="E12"/>
  <c r="D12"/>
  <c r="P11"/>
  <c r="J11"/>
  <c r="F11"/>
  <c r="E11"/>
  <c r="D11"/>
  <c r="C11"/>
  <c r="P10"/>
  <c r="J10"/>
  <c r="F10"/>
  <c r="E10"/>
  <c r="D10"/>
  <c r="C10"/>
  <c r="P9"/>
  <c r="J9"/>
  <c r="F9"/>
  <c r="E9"/>
  <c r="D9"/>
  <c r="C9"/>
  <c r="P8"/>
  <c r="J8"/>
  <c r="F8"/>
  <c r="E8"/>
  <c r="D8"/>
  <c r="C8"/>
  <c r="P7"/>
  <c r="J7"/>
  <c r="F7"/>
  <c r="E7"/>
  <c r="D7"/>
  <c r="C7"/>
  <c r="P6"/>
  <c r="K6"/>
  <c r="J6"/>
  <c r="I6"/>
  <c r="F6"/>
  <c r="E6"/>
  <c r="D6"/>
  <c r="C6"/>
  <c r="F37" i="16"/>
  <c r="E37"/>
  <c r="D37"/>
  <c r="C37"/>
  <c r="O36"/>
  <c r="J36"/>
  <c r="F36"/>
  <c r="E36"/>
  <c r="D36"/>
  <c r="C36"/>
  <c r="O35"/>
  <c r="J35"/>
  <c r="F35"/>
  <c r="E35"/>
  <c r="D35"/>
  <c r="C35"/>
  <c r="O34"/>
  <c r="J34"/>
  <c r="F34"/>
  <c r="E34"/>
  <c r="D34"/>
  <c r="O33"/>
  <c r="J33"/>
  <c r="F33"/>
  <c r="E33"/>
  <c r="D33"/>
  <c r="C33"/>
  <c r="O32"/>
  <c r="J32"/>
  <c r="F32"/>
  <c r="E32"/>
  <c r="D32"/>
  <c r="C32"/>
  <c r="O31"/>
  <c r="J31"/>
  <c r="F31"/>
  <c r="E31"/>
  <c r="D31"/>
  <c r="C31"/>
  <c r="O30"/>
  <c r="J30"/>
  <c r="F30"/>
  <c r="E30"/>
  <c r="D30"/>
  <c r="C30"/>
  <c r="O29"/>
  <c r="J29"/>
  <c r="F29"/>
  <c r="E29"/>
  <c r="D29"/>
  <c r="C29"/>
  <c r="O28"/>
  <c r="J28"/>
  <c r="F28"/>
  <c r="E28"/>
  <c r="D28"/>
  <c r="C28"/>
  <c r="O27"/>
  <c r="J27"/>
  <c r="F27"/>
  <c r="E27"/>
  <c r="D27"/>
  <c r="C27"/>
  <c r="O26"/>
  <c r="J26"/>
  <c r="F26"/>
  <c r="E26"/>
  <c r="D26"/>
  <c r="O25"/>
  <c r="J25"/>
  <c r="F25"/>
  <c r="E25"/>
  <c r="D25"/>
  <c r="O24"/>
  <c r="J24"/>
  <c r="F24"/>
  <c r="E24"/>
  <c r="D24"/>
  <c r="C24"/>
  <c r="O23"/>
  <c r="J23"/>
  <c r="F23"/>
  <c r="E23"/>
  <c r="D23"/>
  <c r="O22"/>
  <c r="J22"/>
  <c r="F22"/>
  <c r="E22"/>
  <c r="D22"/>
  <c r="C22"/>
  <c r="O21"/>
  <c r="J21"/>
  <c r="F21"/>
  <c r="E21"/>
  <c r="D21"/>
  <c r="C21"/>
  <c r="O20"/>
  <c r="J20"/>
  <c r="F20"/>
  <c r="E20"/>
  <c r="D20"/>
  <c r="C20"/>
  <c r="O19"/>
  <c r="J19"/>
  <c r="F19"/>
  <c r="E19"/>
  <c r="D19"/>
  <c r="C19"/>
  <c r="O18"/>
  <c r="J18"/>
  <c r="F18"/>
  <c r="E18"/>
  <c r="D18"/>
  <c r="C18"/>
  <c r="O17"/>
  <c r="J17"/>
  <c r="F17"/>
  <c r="E17"/>
  <c r="D17"/>
  <c r="C17"/>
  <c r="O16"/>
  <c r="J16"/>
  <c r="F16"/>
  <c r="E16"/>
  <c r="D16"/>
  <c r="C16"/>
  <c r="O15"/>
  <c r="J15"/>
  <c r="F15"/>
  <c r="E15"/>
  <c r="D15"/>
  <c r="C15"/>
  <c r="O14"/>
  <c r="J14"/>
  <c r="F14"/>
  <c r="E14"/>
  <c r="D14"/>
  <c r="C14"/>
  <c r="O13"/>
  <c r="J13"/>
  <c r="F13"/>
  <c r="E13"/>
  <c r="D13"/>
  <c r="C13"/>
  <c r="O12"/>
  <c r="J12"/>
  <c r="F12"/>
  <c r="E12"/>
  <c r="D12"/>
  <c r="O11"/>
  <c r="J11"/>
  <c r="F11"/>
  <c r="E11"/>
  <c r="D11"/>
  <c r="C11"/>
  <c r="O10"/>
  <c r="J10"/>
  <c r="F10"/>
  <c r="E10"/>
  <c r="D10"/>
  <c r="C10"/>
  <c r="O9"/>
  <c r="J9"/>
  <c r="F9"/>
  <c r="E9"/>
  <c r="D9"/>
  <c r="C9"/>
  <c r="O8"/>
  <c r="J8"/>
  <c r="F8"/>
  <c r="E8"/>
  <c r="D8"/>
  <c r="C8"/>
  <c r="O7"/>
  <c r="J7"/>
  <c r="F7"/>
  <c r="E7"/>
  <c r="D7"/>
  <c r="C7"/>
  <c r="O6"/>
  <c r="K6"/>
  <c r="J6"/>
  <c r="I6"/>
  <c r="F6"/>
  <c r="E6"/>
  <c r="D6"/>
  <c r="C6"/>
  <c r="O37" i="17"/>
  <c r="J37"/>
  <c r="F37"/>
  <c r="E37"/>
  <c r="D37"/>
  <c r="C37"/>
  <c r="O36"/>
  <c r="J36"/>
  <c r="F36"/>
  <c r="E36"/>
  <c r="D36"/>
  <c r="C36"/>
  <c r="O35"/>
  <c r="J35"/>
  <c r="F35"/>
  <c r="E35"/>
  <c r="D35"/>
  <c r="C35"/>
  <c r="O34"/>
  <c r="J34"/>
  <c r="F34"/>
  <c r="E34"/>
  <c r="C34"/>
  <c r="O33"/>
  <c r="J33"/>
  <c r="F33"/>
  <c r="E33"/>
  <c r="D33"/>
  <c r="C33"/>
  <c r="O32"/>
  <c r="J32"/>
  <c r="F32"/>
  <c r="E32"/>
  <c r="C32"/>
  <c r="O31"/>
  <c r="J31"/>
  <c r="F31"/>
  <c r="E31"/>
  <c r="D31"/>
  <c r="C31"/>
  <c r="O30"/>
  <c r="J30"/>
  <c r="F30"/>
  <c r="E30"/>
  <c r="C30"/>
  <c r="O29"/>
  <c r="J29"/>
  <c r="F29"/>
  <c r="E29"/>
  <c r="C29"/>
  <c r="O28"/>
  <c r="J28"/>
  <c r="F28"/>
  <c r="E28"/>
  <c r="D28"/>
  <c r="C28"/>
  <c r="O27"/>
  <c r="J27"/>
  <c r="F27"/>
  <c r="E27"/>
  <c r="C27"/>
  <c r="O26"/>
  <c r="J26"/>
  <c r="F26"/>
  <c r="E26"/>
  <c r="D26"/>
  <c r="C26"/>
  <c r="O25"/>
  <c r="J25"/>
  <c r="F25"/>
  <c r="E25"/>
  <c r="D25"/>
  <c r="C25"/>
  <c r="O24"/>
  <c r="J24"/>
  <c r="F24"/>
  <c r="E24"/>
  <c r="D24"/>
  <c r="C24"/>
  <c r="O23"/>
  <c r="J23"/>
  <c r="F23"/>
  <c r="E23"/>
  <c r="D23"/>
  <c r="C23"/>
  <c r="O22"/>
  <c r="J22"/>
  <c r="F22"/>
  <c r="E22"/>
  <c r="D22"/>
  <c r="C22"/>
  <c r="O21"/>
  <c r="J21"/>
  <c r="F21"/>
  <c r="E21"/>
  <c r="D21"/>
  <c r="C21"/>
  <c r="O20"/>
  <c r="J20"/>
  <c r="F20"/>
  <c r="E20"/>
  <c r="D20"/>
  <c r="C20"/>
  <c r="O19"/>
  <c r="J19"/>
  <c r="F19"/>
  <c r="E19"/>
  <c r="D19"/>
  <c r="C19"/>
  <c r="O18"/>
  <c r="J18"/>
  <c r="F18"/>
  <c r="E18"/>
  <c r="D18"/>
  <c r="C18"/>
  <c r="O17"/>
  <c r="J17"/>
  <c r="F17"/>
  <c r="E17"/>
  <c r="D17"/>
  <c r="C17"/>
  <c r="O16"/>
  <c r="J16"/>
  <c r="F16"/>
  <c r="E16"/>
  <c r="D16"/>
  <c r="C16"/>
  <c r="O15"/>
  <c r="J15"/>
  <c r="F15"/>
  <c r="E15"/>
  <c r="D15"/>
  <c r="C15"/>
  <c r="O14"/>
  <c r="J14"/>
  <c r="F14"/>
  <c r="E14"/>
  <c r="D14"/>
  <c r="C14"/>
  <c r="O13"/>
  <c r="J13"/>
  <c r="F13"/>
  <c r="E13"/>
  <c r="C13"/>
  <c r="O12"/>
  <c r="J12"/>
  <c r="F12"/>
  <c r="E12"/>
  <c r="D12"/>
  <c r="C12"/>
  <c r="O11"/>
  <c r="J11"/>
  <c r="F11"/>
  <c r="E11"/>
  <c r="D11"/>
  <c r="C11"/>
  <c r="O10"/>
  <c r="J10"/>
  <c r="F10"/>
  <c r="E10"/>
  <c r="D10"/>
  <c r="C10"/>
  <c r="O9"/>
  <c r="J9"/>
  <c r="F9"/>
  <c r="E9"/>
  <c r="D9"/>
  <c r="C9"/>
  <c r="O8"/>
  <c r="J8"/>
  <c r="F8"/>
  <c r="E8"/>
  <c r="D8"/>
  <c r="C8"/>
  <c r="O7"/>
  <c r="J7"/>
  <c r="F7"/>
  <c r="E7"/>
  <c r="D7"/>
  <c r="C7"/>
  <c r="O6"/>
  <c r="K6"/>
  <c r="J6"/>
  <c r="I6"/>
  <c r="F6"/>
  <c r="E6"/>
  <c r="D6"/>
  <c r="C6"/>
  <c r="C5" i="18"/>
</calcChain>
</file>

<file path=xl/sharedStrings.xml><?xml version="1.0" encoding="utf-8"?>
<sst xmlns="http://schemas.openxmlformats.org/spreadsheetml/2006/main" count="1084" uniqueCount="235">
  <si>
    <t>附件</t>
  </si>
  <si>
    <t>序号</t>
  </si>
  <si>
    <t xml:space="preserve">省份 </t>
  </si>
  <si>
    <t>2019年资金（万元）</t>
  </si>
  <si>
    <t>改厕系数</t>
  </si>
  <si>
    <t>2018年支持贫困县资金（万元）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</si>
  <si>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</si>
  <si>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</si>
  <si>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</si>
  <si>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</si>
  <si>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</si>
  <si>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</si>
  <si>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</si>
  <si>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</si>
  <si>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</si>
  <si>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</si>
  <si>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</si>
  <si>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</si>
  <si>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</si>
  <si>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</si>
  <si>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</si>
  <si>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</si>
  <si>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</si>
  <si>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</si>
  <si>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</si>
  <si>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</si>
  <si>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</si>
  <si>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</si>
  <si>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</si>
  <si>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</si>
  <si>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</si>
  <si>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</si>
  <si>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</si>
  <si>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</si>
  <si>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附件1</t>
  </si>
  <si>
    <t>2019年农村环境综合整治资金安排建议</t>
  </si>
  <si>
    <t>2019年资金建议（万元）</t>
  </si>
  <si>
    <t>支持扣减</t>
  </si>
  <si>
    <t>2019年资金第一次试算</t>
  </si>
  <si>
    <t>不含黑臭水体</t>
  </si>
  <si>
    <t>2018年资金（万元）</t>
  </si>
  <si>
    <t>黑臭水体治理试点（万元）</t>
  </si>
  <si>
    <t>权重</t>
  </si>
  <si>
    <t>2019年整治村庄数（个）</t>
  </si>
  <si>
    <t>扣减系数</t>
  </si>
  <si>
    <t>污水治理成效系数</t>
  </si>
  <si>
    <t>校核后村庄</t>
  </si>
  <si>
    <t>改厕系数(老）</t>
  </si>
  <si>
    <r>
      <rPr>
        <sz val="12"/>
        <color theme="1"/>
        <rFont val="仿宋_GB2312"/>
        <family val="3"/>
        <charset val="134"/>
      </rPr>
      <t>合计</t>
    </r>
  </si>
  <si>
    <r>
      <rPr>
        <sz val="12"/>
        <color theme="1"/>
        <rFont val="仿宋_GB2312"/>
        <family val="3"/>
        <charset val="134"/>
      </rPr>
      <t>北京市</t>
    </r>
  </si>
  <si>
    <t>无</t>
  </si>
  <si>
    <r>
      <rPr>
        <sz val="12"/>
        <color theme="1"/>
        <rFont val="仿宋_GB2312"/>
        <family val="3"/>
        <charset val="134"/>
      </rPr>
      <t>天津市</t>
    </r>
  </si>
  <si>
    <r>
      <rPr>
        <sz val="12"/>
        <color theme="1"/>
        <rFont val="仿宋_GB2312"/>
        <family val="3"/>
        <charset val="134"/>
      </rPr>
      <t>河北省</t>
    </r>
  </si>
  <si>
    <r>
      <rPr>
        <sz val="12"/>
        <color theme="1"/>
        <rFont val="仿宋_GB2312"/>
        <family val="3"/>
        <charset val="134"/>
      </rPr>
      <t>上海市</t>
    </r>
  </si>
  <si>
    <r>
      <rPr>
        <sz val="12"/>
        <color theme="1"/>
        <rFont val="仿宋_GB2312"/>
        <family val="3"/>
        <charset val="134"/>
      </rPr>
      <t>安徽省</t>
    </r>
  </si>
  <si>
    <r>
      <rPr>
        <sz val="12"/>
        <color theme="1"/>
        <rFont val="仿宋_GB2312"/>
        <family val="3"/>
        <charset val="134"/>
      </rPr>
      <t>福建省</t>
    </r>
  </si>
  <si>
    <r>
      <rPr>
        <sz val="12"/>
        <color rgb="FFFF0000"/>
        <rFont val="仿宋_GB2312"/>
        <family val="3"/>
        <charset val="134"/>
      </rPr>
      <t>江西省</t>
    </r>
  </si>
  <si>
    <r>
      <rPr>
        <sz val="12"/>
        <color theme="1"/>
        <rFont val="仿宋_GB2312"/>
        <family val="3"/>
        <charset val="134"/>
      </rPr>
      <t>山东省</t>
    </r>
  </si>
  <si>
    <r>
      <rPr>
        <sz val="12"/>
        <color theme="1"/>
        <rFont val="仿宋_GB2312"/>
        <family val="3"/>
        <charset val="134"/>
      </rPr>
      <t>湖北省</t>
    </r>
  </si>
  <si>
    <r>
      <rPr>
        <sz val="12"/>
        <color theme="1"/>
        <rFont val="仿宋_GB2312"/>
        <family val="3"/>
        <charset val="134"/>
      </rPr>
      <t>湖南省</t>
    </r>
  </si>
  <si>
    <r>
      <rPr>
        <sz val="12"/>
        <color theme="1"/>
        <rFont val="仿宋_GB2312"/>
        <family val="3"/>
        <charset val="134"/>
      </rPr>
      <t>广东省</t>
    </r>
  </si>
  <si>
    <r>
      <rPr>
        <sz val="12"/>
        <color theme="1"/>
        <rFont val="仿宋_GB2312"/>
        <family val="3"/>
        <charset val="134"/>
      </rPr>
      <t>海南省</t>
    </r>
  </si>
  <si>
    <t>东部地区小计</t>
  </si>
  <si>
    <r>
      <rPr>
        <sz val="12"/>
        <color theme="1"/>
        <rFont val="仿宋_GB2312"/>
        <family val="3"/>
        <charset val="134"/>
      </rPr>
      <t>山西省</t>
    </r>
  </si>
  <si>
    <r>
      <rPr>
        <sz val="12"/>
        <color theme="1"/>
        <rFont val="仿宋_GB2312"/>
        <family val="3"/>
        <charset val="134"/>
      </rPr>
      <t>内蒙古自治区</t>
    </r>
  </si>
  <si>
    <r>
      <rPr>
        <sz val="12"/>
        <color theme="1"/>
        <rFont val="仿宋_GB2312"/>
        <family val="3"/>
        <charset val="134"/>
      </rPr>
      <t>辽宁省</t>
    </r>
  </si>
  <si>
    <r>
      <rPr>
        <sz val="12"/>
        <color theme="1"/>
        <rFont val="仿宋_GB2312"/>
        <family val="3"/>
        <charset val="134"/>
      </rPr>
      <t>吉林省</t>
    </r>
  </si>
  <si>
    <r>
      <rPr>
        <sz val="12"/>
        <color theme="1"/>
        <rFont val="仿宋_GB2312"/>
        <family val="3"/>
        <charset val="134"/>
      </rPr>
      <t>黑龙江省</t>
    </r>
  </si>
  <si>
    <r>
      <rPr>
        <sz val="12"/>
        <color theme="1"/>
        <rFont val="仿宋_GB2312"/>
        <family val="3"/>
        <charset val="134"/>
      </rPr>
      <t>河南省</t>
    </r>
  </si>
  <si>
    <r>
      <rPr>
        <sz val="12"/>
        <color theme="1"/>
        <rFont val="仿宋_GB2312"/>
        <family val="3"/>
        <charset val="134"/>
      </rPr>
      <t>广西自治区</t>
    </r>
  </si>
  <si>
    <r>
      <rPr>
        <sz val="12"/>
        <color theme="1"/>
        <rFont val="仿宋_GB2312"/>
        <family val="3"/>
        <charset val="134"/>
      </rPr>
      <t>重庆市</t>
    </r>
  </si>
  <si>
    <r>
      <rPr>
        <sz val="12"/>
        <color theme="1"/>
        <rFont val="仿宋_GB2312"/>
        <family val="3"/>
        <charset val="134"/>
      </rPr>
      <t>四川省</t>
    </r>
  </si>
  <si>
    <r>
      <rPr>
        <sz val="12"/>
        <color theme="1"/>
        <rFont val="仿宋_GB2312"/>
        <family val="3"/>
        <charset val="134"/>
      </rPr>
      <t>贵州省</t>
    </r>
  </si>
  <si>
    <r>
      <rPr>
        <sz val="12"/>
        <color theme="1"/>
        <rFont val="仿宋_GB2312"/>
        <family val="3"/>
        <charset val="134"/>
      </rPr>
      <t>云南省</t>
    </r>
  </si>
  <si>
    <r>
      <rPr>
        <sz val="12"/>
        <color theme="1"/>
        <rFont val="仿宋_GB2312"/>
        <family val="3"/>
        <charset val="134"/>
      </rPr>
      <t>西藏自治区</t>
    </r>
  </si>
  <si>
    <r>
      <rPr>
        <sz val="12"/>
        <color theme="1"/>
        <rFont val="仿宋_GB2312"/>
        <family val="3"/>
        <charset val="134"/>
      </rPr>
      <t>陕西省</t>
    </r>
  </si>
  <si>
    <r>
      <rPr>
        <sz val="12"/>
        <color theme="1"/>
        <rFont val="仿宋_GB2312"/>
        <family val="3"/>
        <charset val="134"/>
      </rPr>
      <t>甘肃省</t>
    </r>
  </si>
  <si>
    <r>
      <rPr>
        <sz val="12"/>
        <color theme="1"/>
        <rFont val="仿宋_GB2312"/>
        <family val="3"/>
        <charset val="134"/>
      </rPr>
      <t>青海省</t>
    </r>
  </si>
  <si>
    <r>
      <rPr>
        <sz val="12"/>
        <color theme="1"/>
        <rFont val="仿宋_GB2312"/>
        <family val="3"/>
        <charset val="134"/>
      </rPr>
      <t>新疆自治区</t>
    </r>
  </si>
  <si>
    <t>新疆生产兵团</t>
  </si>
  <si>
    <t>东北和中西部地区小计</t>
  </si>
  <si>
    <t>区域</t>
  </si>
  <si>
    <t>东</t>
  </si>
  <si>
    <t>中</t>
  </si>
  <si>
    <t>西</t>
  </si>
  <si>
    <t>东北</t>
  </si>
  <si>
    <r>
      <rPr>
        <sz val="12"/>
        <rFont val="仿宋_GB2312"/>
        <family val="3"/>
        <charset val="134"/>
      </rPr>
      <t>合计</t>
    </r>
  </si>
  <si>
    <r>
      <rPr>
        <sz val="12"/>
        <rFont val="仿宋_GB2312"/>
        <family val="3"/>
        <charset val="134"/>
      </rPr>
      <t>北京市</t>
    </r>
  </si>
  <si>
    <r>
      <rPr>
        <sz val="12"/>
        <rFont val="仿宋_GB2312"/>
        <family val="3"/>
        <charset val="134"/>
      </rPr>
      <t>天津市</t>
    </r>
  </si>
  <si>
    <r>
      <rPr>
        <sz val="12"/>
        <rFont val="仿宋_GB2312"/>
        <family val="3"/>
        <charset val="134"/>
      </rPr>
      <t>河北省</t>
    </r>
  </si>
  <si>
    <r>
      <rPr>
        <sz val="12"/>
        <rFont val="仿宋_GB2312"/>
        <family val="3"/>
        <charset val="134"/>
      </rPr>
      <t>上海市</t>
    </r>
  </si>
  <si>
    <r>
      <rPr>
        <sz val="12"/>
        <rFont val="仿宋_GB2312"/>
        <family val="3"/>
        <charset val="134"/>
      </rPr>
      <t>安徽省</t>
    </r>
  </si>
  <si>
    <r>
      <rPr>
        <sz val="12"/>
        <rFont val="仿宋_GB2312"/>
        <family val="3"/>
        <charset val="134"/>
      </rPr>
      <t>山东省</t>
    </r>
  </si>
  <si>
    <r>
      <rPr>
        <sz val="12"/>
        <rFont val="仿宋_GB2312"/>
        <family val="3"/>
        <charset val="134"/>
      </rPr>
      <t>湖北省</t>
    </r>
  </si>
  <si>
    <r>
      <rPr>
        <sz val="12"/>
        <rFont val="仿宋_GB2312"/>
        <family val="3"/>
        <charset val="134"/>
      </rPr>
      <t>湖南省</t>
    </r>
  </si>
  <si>
    <r>
      <rPr>
        <sz val="12"/>
        <rFont val="仿宋_GB2312"/>
        <family val="3"/>
        <charset val="134"/>
      </rPr>
      <t>福建省</t>
    </r>
  </si>
  <si>
    <r>
      <rPr>
        <sz val="12"/>
        <rFont val="仿宋_GB2312"/>
        <family val="3"/>
        <charset val="134"/>
      </rPr>
      <t>广东省</t>
    </r>
  </si>
  <si>
    <r>
      <rPr>
        <sz val="12"/>
        <rFont val="仿宋_GB2312"/>
        <family val="3"/>
        <charset val="134"/>
      </rPr>
      <t>海南省</t>
    </r>
  </si>
  <si>
    <r>
      <rPr>
        <sz val="12"/>
        <rFont val="仿宋_GB2312"/>
        <family val="3"/>
        <charset val="134"/>
      </rPr>
      <t>山西省</t>
    </r>
  </si>
  <si>
    <r>
      <rPr>
        <sz val="12"/>
        <rFont val="仿宋_GB2312"/>
        <family val="3"/>
        <charset val="134"/>
      </rPr>
      <t>河南省</t>
    </r>
  </si>
  <si>
    <r>
      <rPr>
        <sz val="12"/>
        <rFont val="仿宋_GB2312"/>
        <family val="3"/>
        <charset val="134"/>
      </rPr>
      <t>广西自治区</t>
    </r>
  </si>
  <si>
    <r>
      <rPr>
        <sz val="12"/>
        <color rgb="FFFF0000"/>
        <rFont val="仿宋_GB2312"/>
        <family val="3"/>
        <charset val="134"/>
      </rPr>
      <t>重庆市</t>
    </r>
  </si>
  <si>
    <r>
      <rPr>
        <sz val="12"/>
        <rFont val="仿宋_GB2312"/>
        <family val="3"/>
        <charset val="134"/>
      </rPr>
      <t>四川省</t>
    </r>
  </si>
  <si>
    <r>
      <rPr>
        <sz val="12"/>
        <color rgb="FFFF0000"/>
        <rFont val="仿宋_GB2312"/>
        <family val="3"/>
        <charset val="134"/>
      </rPr>
      <t>贵州省</t>
    </r>
  </si>
  <si>
    <r>
      <rPr>
        <sz val="12"/>
        <color rgb="FFFF0000"/>
        <rFont val="仿宋_GB2312"/>
        <family val="3"/>
        <charset val="134"/>
      </rPr>
      <t>云南省</t>
    </r>
  </si>
  <si>
    <r>
      <rPr>
        <sz val="12"/>
        <color rgb="FFFF0000"/>
        <rFont val="仿宋_GB2312"/>
        <family val="3"/>
        <charset val="134"/>
      </rPr>
      <t>陕西省</t>
    </r>
  </si>
  <si>
    <t>中部地区小计</t>
  </si>
  <si>
    <r>
      <rPr>
        <sz val="12"/>
        <rFont val="仿宋_GB2312"/>
        <family val="3"/>
        <charset val="134"/>
      </rPr>
      <t>内蒙古自治区</t>
    </r>
  </si>
  <si>
    <r>
      <rPr>
        <sz val="12"/>
        <rFont val="仿宋_GB2312"/>
        <family val="3"/>
        <charset val="134"/>
      </rPr>
      <t>辽宁省</t>
    </r>
  </si>
  <si>
    <r>
      <rPr>
        <sz val="12"/>
        <rFont val="仿宋_GB2312"/>
        <family val="3"/>
        <charset val="134"/>
      </rPr>
      <t>吉林省</t>
    </r>
  </si>
  <si>
    <r>
      <rPr>
        <sz val="12"/>
        <rFont val="仿宋_GB2312"/>
        <family val="3"/>
        <charset val="134"/>
      </rPr>
      <t>黑龙江省</t>
    </r>
  </si>
  <si>
    <r>
      <rPr>
        <sz val="12"/>
        <rFont val="仿宋_GB2312"/>
        <family val="3"/>
        <charset val="134"/>
      </rPr>
      <t>西藏自治区</t>
    </r>
  </si>
  <si>
    <r>
      <rPr>
        <sz val="12"/>
        <rFont val="仿宋_GB2312"/>
        <family val="3"/>
        <charset val="134"/>
      </rPr>
      <t>甘肃省</t>
    </r>
  </si>
  <si>
    <r>
      <rPr>
        <sz val="12"/>
        <rFont val="仿宋_GB2312"/>
        <family val="3"/>
        <charset val="134"/>
      </rPr>
      <t>青海省</t>
    </r>
  </si>
  <si>
    <r>
      <rPr>
        <sz val="12"/>
        <rFont val="仿宋_GB2312"/>
        <family val="3"/>
        <charset val="134"/>
      </rPr>
      <t>新疆自治区</t>
    </r>
  </si>
  <si>
    <t>东北和西北地区小计</t>
  </si>
  <si>
    <r>
      <rPr>
        <sz val="12"/>
        <rFont val="仿宋_GB2312"/>
        <family val="3"/>
        <charset val="134"/>
      </rPr>
      <t>江西省</t>
    </r>
  </si>
  <si>
    <r>
      <rPr>
        <sz val="12"/>
        <rFont val="仿宋_GB2312"/>
        <family val="3"/>
        <charset val="134"/>
      </rPr>
      <t>重庆市</t>
    </r>
  </si>
  <si>
    <r>
      <rPr>
        <sz val="12"/>
        <rFont val="仿宋_GB2312"/>
        <family val="3"/>
        <charset val="134"/>
      </rPr>
      <t>贵州省</t>
    </r>
  </si>
  <si>
    <r>
      <rPr>
        <sz val="12"/>
        <rFont val="仿宋_GB2312"/>
        <family val="3"/>
        <charset val="134"/>
      </rPr>
      <t>云南省</t>
    </r>
  </si>
  <si>
    <r>
      <rPr>
        <sz val="12"/>
        <rFont val="仿宋_GB2312"/>
        <family val="3"/>
        <charset val="134"/>
      </rPr>
      <t>陕西省</t>
    </r>
  </si>
  <si>
    <t>2019建议资金</t>
  </si>
  <si>
    <t>第一次试算</t>
  </si>
  <si>
    <t>资金（万元）</t>
  </si>
  <si>
    <t>第一梯队小计</t>
  </si>
  <si>
    <t>第二梯队小计</t>
  </si>
  <si>
    <r>
      <rPr>
        <sz val="12"/>
        <color rgb="FFFF0000"/>
        <rFont val="仿宋_GB2312"/>
        <family val="3"/>
        <charset val="134"/>
      </rPr>
      <t>辽宁省</t>
    </r>
  </si>
  <si>
    <t>第三梯队小计</t>
  </si>
  <si>
    <t>贫困县和</t>
  </si>
  <si>
    <t>试算和</t>
  </si>
  <si>
    <t>比值</t>
  </si>
  <si>
    <t>2019年建议（万元）</t>
  </si>
  <si>
    <r>
      <rPr>
        <b/>
        <sz val="12"/>
        <rFont val="仿宋_GB2312"/>
        <family val="3"/>
        <charset val="134"/>
      </rPr>
      <t>重点区域</t>
    </r>
  </si>
  <si>
    <r>
      <rPr>
        <sz val="12"/>
        <rFont val="仿宋_GB2312"/>
        <family val="3"/>
        <charset val="134"/>
      </rPr>
      <t>小计</t>
    </r>
  </si>
  <si>
    <r>
      <rPr>
        <b/>
        <sz val="12"/>
        <rFont val="仿宋_GB2312"/>
        <family val="3"/>
        <charset val="134"/>
      </rPr>
      <t>非重点区域</t>
    </r>
  </si>
  <si>
    <r>
      <rPr>
        <sz val="12"/>
        <rFont val="仿宋_GB2312"/>
        <family val="3"/>
        <charset val="134"/>
      </rPr>
      <t>非重点区域</t>
    </r>
  </si>
  <si>
    <t>黑臭试点（万元）</t>
  </si>
  <si>
    <r>
      <rPr>
        <b/>
        <sz val="12"/>
        <color theme="1"/>
        <rFont val="仿宋_GB2312"/>
        <family val="3"/>
        <charset val="134"/>
      </rPr>
      <t>重点区域</t>
    </r>
  </si>
  <si>
    <r>
      <rPr>
        <sz val="12"/>
        <color theme="1"/>
        <rFont val="仿宋_GB2312"/>
        <family val="3"/>
        <charset val="134"/>
      </rPr>
      <t>江西省</t>
    </r>
  </si>
  <si>
    <r>
      <rPr>
        <sz val="12"/>
        <color theme="1"/>
        <rFont val="仿宋_GB2312"/>
        <family val="3"/>
        <charset val="134"/>
      </rPr>
      <t>小计</t>
    </r>
  </si>
  <si>
    <r>
      <rPr>
        <b/>
        <sz val="12"/>
        <color theme="1"/>
        <rFont val="仿宋_GB2312"/>
        <family val="3"/>
        <charset val="134"/>
      </rPr>
      <t>非重点区域</t>
    </r>
  </si>
  <si>
    <r>
      <rPr>
        <sz val="12"/>
        <color theme="1"/>
        <rFont val="仿宋_GB2312"/>
        <family val="3"/>
        <charset val="134"/>
      </rPr>
      <t>非重点区域</t>
    </r>
  </si>
  <si>
    <t>其中黑臭水体治理试点资金（万元）</t>
  </si>
  <si>
    <r>
      <rPr>
        <b/>
        <sz val="12"/>
        <color theme="1"/>
        <rFont val="仿宋_GB2312"/>
        <family val="3"/>
        <charset val="134"/>
      </rPr>
      <t>重点区域</t>
    </r>
    <r>
      <rPr>
        <b/>
        <sz val="12"/>
        <color theme="1"/>
        <rFont val="Times New Roman"/>
        <family val="1"/>
      </rPr>
      <t>12</t>
    </r>
    <r>
      <rPr>
        <b/>
        <sz val="12"/>
        <color theme="1"/>
        <rFont val="仿宋_GB2312"/>
        <family val="3"/>
        <charset val="134"/>
      </rPr>
      <t>个省份（长江经济带、京津冀）安排资金</t>
    </r>
    <r>
      <rPr>
        <b/>
        <sz val="12"/>
        <color theme="1"/>
        <rFont val="Times New Roman"/>
        <family val="1"/>
      </rPr>
      <t>25</t>
    </r>
    <r>
      <rPr>
        <b/>
        <sz val="12"/>
        <color theme="1"/>
        <rFont val="仿宋_GB2312"/>
        <family val="3"/>
        <charset val="134"/>
      </rPr>
      <t>亿元</t>
    </r>
    <r>
      <rPr>
        <b/>
        <sz val="12"/>
        <color theme="1"/>
        <rFont val="Times New Roman"/>
        <family val="1"/>
      </rPr>
      <t xml:space="preserve"> </t>
    </r>
  </si>
  <si>
    <t xml:space="preserve">东 </t>
  </si>
  <si>
    <r>
      <rPr>
        <b/>
        <sz val="12"/>
        <color theme="1"/>
        <rFont val="仿宋_GB2312"/>
        <family val="3"/>
        <charset val="134"/>
      </rPr>
      <t>非重点区域</t>
    </r>
    <r>
      <rPr>
        <b/>
        <sz val="12"/>
        <color theme="1"/>
        <rFont val="Times New Roman"/>
        <family val="1"/>
      </rPr>
      <t>17</t>
    </r>
    <r>
      <rPr>
        <b/>
        <sz val="12"/>
        <color theme="1"/>
        <rFont val="仿宋_GB2312"/>
        <family val="3"/>
        <charset val="134"/>
      </rPr>
      <t>个省份安排资金</t>
    </r>
    <r>
      <rPr>
        <b/>
        <sz val="12"/>
        <color theme="1"/>
        <rFont val="Times New Roman"/>
        <family val="1"/>
      </rPr>
      <t>17</t>
    </r>
    <r>
      <rPr>
        <b/>
        <sz val="12"/>
        <color theme="1"/>
        <rFont val="仿宋_GB2312"/>
        <family val="3"/>
        <charset val="134"/>
      </rPr>
      <t>亿元</t>
    </r>
  </si>
  <si>
    <r>
      <rPr>
        <sz val="12"/>
        <color theme="1"/>
        <rFont val="仿宋_GB2312"/>
        <family val="3"/>
        <charset val="134"/>
      </rPr>
      <t>新疆生产建设兵团</t>
    </r>
  </si>
  <si>
    <t>2019年资金分配测算</t>
  </si>
  <si>
    <t>加上黑臭水体资金（每省加5000）</t>
  </si>
  <si>
    <r>
      <rPr>
        <b/>
        <sz val="10"/>
        <rFont val="宋体"/>
        <family val="3"/>
        <charset val="134"/>
      </rPr>
      <t>扣减系数</t>
    </r>
  </si>
  <si>
    <t>通过综合整治已开展污水治理村庄占全国比例</t>
  </si>
  <si>
    <r>
      <rPr>
        <sz val="11"/>
        <color theme="1"/>
        <rFont val="宋体"/>
        <family val="3"/>
        <charset val="134"/>
      </rPr>
      <t>村庄</t>
    </r>
    <r>
      <rPr>
        <sz val="11"/>
        <color theme="1"/>
        <rFont val="Times New Roman"/>
        <family val="1"/>
      </rPr>
      <t>*</t>
    </r>
    <r>
      <rPr>
        <sz val="11"/>
        <color theme="1"/>
        <rFont val="宋体"/>
        <family val="3"/>
        <charset val="134"/>
      </rPr>
      <t>改厕系数</t>
    </r>
  </si>
  <si>
    <t>村庄分配测算过程</t>
  </si>
  <si>
    <t>区域资金分配系数</t>
  </si>
  <si>
    <t>2018年支持资金（万元）</t>
  </si>
  <si>
    <t>合计</t>
  </si>
  <si>
    <t xml:space="preserve">重点区域11个省份（长江经济带、京津冀）安排资金25亿元 </t>
  </si>
  <si>
    <t>北京市</t>
  </si>
  <si>
    <t>天津市</t>
  </si>
  <si>
    <t>河北省</t>
  </si>
  <si>
    <t>上海市</t>
  </si>
  <si>
    <t>安徽省</t>
  </si>
  <si>
    <t>江西省</t>
  </si>
  <si>
    <t>湖北省</t>
  </si>
  <si>
    <t>湖南省</t>
  </si>
  <si>
    <t>重庆市</t>
  </si>
  <si>
    <t>四川省</t>
  </si>
  <si>
    <t>贵州省</t>
  </si>
  <si>
    <t>云南省</t>
  </si>
  <si>
    <t>小计</t>
  </si>
  <si>
    <t>非重点区域18个省份安排资金17亿元</t>
  </si>
  <si>
    <t>山西省</t>
  </si>
  <si>
    <t>内蒙古自治区</t>
  </si>
  <si>
    <t>辽宁省</t>
  </si>
  <si>
    <t>吉林省</t>
  </si>
  <si>
    <t>黑龙江省</t>
  </si>
  <si>
    <t>福建省</t>
  </si>
  <si>
    <t>山东省</t>
  </si>
  <si>
    <t>河南省</t>
  </si>
  <si>
    <t>广东省</t>
  </si>
  <si>
    <t>广西自治区</t>
  </si>
  <si>
    <t>海南省</t>
  </si>
  <si>
    <t>西藏自治区</t>
  </si>
  <si>
    <t>陕西省</t>
  </si>
  <si>
    <t>甘肃省</t>
  </si>
  <si>
    <t>青海省</t>
  </si>
  <si>
    <t>新疆自治区</t>
  </si>
  <si>
    <t>新疆生产建设兵团</t>
  </si>
  <si>
    <t>非重点区域</t>
  </si>
  <si>
    <r>
      <rPr>
        <sz val="11"/>
        <rFont val="宋体"/>
        <family val="3"/>
        <charset val="134"/>
      </rPr>
      <t>省份</t>
    </r>
    <r>
      <rPr>
        <sz val="11"/>
        <rFont val="Times New Roman"/>
        <family val="1"/>
      </rPr>
      <t xml:space="preserve"> </t>
    </r>
  </si>
  <si>
    <r>
      <rPr>
        <sz val="11"/>
        <color theme="1"/>
        <rFont val="宋体"/>
        <family val="3"/>
        <charset val="134"/>
      </rPr>
      <t>2019</t>
    </r>
    <r>
      <rPr>
        <sz val="11"/>
        <color indexed="8"/>
        <rFont val="宋体"/>
        <family val="3"/>
        <charset val="134"/>
      </rPr>
      <t>年整治村庄数（个）</t>
    </r>
  </si>
  <si>
    <r>
      <rPr>
        <sz val="11"/>
        <rFont val="宋体"/>
        <family val="3"/>
        <charset val="134"/>
      </rPr>
      <t>合计</t>
    </r>
  </si>
  <si>
    <r>
      <rPr>
        <sz val="11"/>
        <rFont val="宋体"/>
        <family val="3"/>
        <charset val="134"/>
      </rPr>
      <t>北京市</t>
    </r>
  </si>
  <si>
    <r>
      <rPr>
        <sz val="11"/>
        <color theme="1"/>
        <rFont val="宋体"/>
        <family val="3"/>
        <charset val="134"/>
      </rPr>
      <t>东</t>
    </r>
  </si>
  <si>
    <r>
      <rPr>
        <sz val="11"/>
        <rFont val="宋体"/>
        <family val="3"/>
        <charset val="134"/>
      </rPr>
      <t>天津市</t>
    </r>
  </si>
  <si>
    <r>
      <rPr>
        <sz val="11"/>
        <color theme="1"/>
        <rFont val="宋体"/>
        <family val="3"/>
        <charset val="134"/>
      </rPr>
      <t>东</t>
    </r>
    <r>
      <rPr>
        <sz val="11"/>
        <color theme="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</si>
  <si>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河北省</t>
    </r>
  </si>
  <si>
    <r>
      <rPr>
        <sz val="11"/>
        <rFont val="宋体"/>
        <family val="3"/>
        <charset val="134"/>
      </rPr>
      <t>山西省</t>
    </r>
  </si>
  <si>
    <r>
      <rPr>
        <sz val="11"/>
        <color theme="1"/>
        <rFont val="宋体"/>
        <family val="3"/>
        <charset val="134"/>
      </rPr>
      <t>中</t>
    </r>
  </si>
  <si>
    <r>
      <rPr>
        <sz val="11"/>
        <rFont val="宋体"/>
        <family val="3"/>
        <charset val="134"/>
      </rPr>
      <t>内蒙古自治区</t>
    </r>
  </si>
  <si>
    <r>
      <rPr>
        <sz val="11"/>
        <color theme="1"/>
        <rFont val="宋体"/>
        <family val="3"/>
        <charset val="134"/>
      </rPr>
      <t>西</t>
    </r>
  </si>
  <si>
    <r>
      <rPr>
        <sz val="11"/>
        <rFont val="宋体"/>
        <family val="3"/>
        <charset val="134"/>
      </rPr>
      <t>辽宁省</t>
    </r>
  </si>
  <si>
    <r>
      <rPr>
        <sz val="11"/>
        <rFont val="宋体"/>
        <family val="3"/>
        <charset val="134"/>
      </rPr>
      <t>吉林省</t>
    </r>
  </si>
  <si>
    <r>
      <rPr>
        <sz val="11"/>
        <rFont val="宋体"/>
        <family val="3"/>
        <charset val="134"/>
      </rPr>
      <t>黑龙江省</t>
    </r>
  </si>
  <si>
    <r>
      <rPr>
        <sz val="11"/>
        <rFont val="宋体"/>
        <family val="3"/>
        <charset val="134"/>
      </rPr>
      <t>上海市</t>
    </r>
  </si>
  <si>
    <t>江苏省</t>
  </si>
  <si>
    <t>/</t>
  </si>
  <si>
    <t>浙江省</t>
  </si>
  <si>
    <r>
      <rPr>
        <sz val="11"/>
        <rFont val="宋体"/>
        <family val="3"/>
        <charset val="134"/>
      </rPr>
      <t>安徽省</t>
    </r>
  </si>
  <si>
    <r>
      <rPr>
        <sz val="11"/>
        <rFont val="宋体"/>
        <family val="3"/>
        <charset val="134"/>
      </rPr>
      <t>中</t>
    </r>
  </si>
  <si>
    <r>
      <rPr>
        <sz val="11"/>
        <rFont val="宋体"/>
        <family val="3"/>
        <charset val="134"/>
      </rPr>
      <t>福建省</t>
    </r>
  </si>
  <si>
    <r>
      <rPr>
        <sz val="11"/>
        <rFont val="宋体"/>
        <family val="3"/>
        <charset val="134"/>
      </rPr>
      <t>江西省</t>
    </r>
  </si>
  <si>
    <r>
      <rPr>
        <sz val="11"/>
        <rFont val="宋体"/>
        <family val="3"/>
        <charset val="134"/>
      </rPr>
      <t>山东省</t>
    </r>
  </si>
  <si>
    <r>
      <rPr>
        <sz val="11"/>
        <rFont val="宋体"/>
        <family val="3"/>
        <charset val="134"/>
      </rPr>
      <t>河南省</t>
    </r>
  </si>
  <si>
    <r>
      <rPr>
        <sz val="11"/>
        <rFont val="宋体"/>
        <family val="3"/>
        <charset val="134"/>
      </rPr>
      <t>湖北省</t>
    </r>
  </si>
  <si>
    <r>
      <rPr>
        <sz val="11"/>
        <rFont val="宋体"/>
        <family val="3"/>
        <charset val="134"/>
      </rPr>
      <t>湖南省</t>
    </r>
  </si>
  <si>
    <r>
      <rPr>
        <sz val="11"/>
        <rFont val="宋体"/>
        <family val="3"/>
        <charset val="134"/>
      </rPr>
      <t>广东省</t>
    </r>
  </si>
  <si>
    <r>
      <rPr>
        <sz val="11"/>
        <rFont val="宋体"/>
        <family val="3"/>
        <charset val="134"/>
      </rPr>
      <t>广西自治区</t>
    </r>
  </si>
  <si>
    <r>
      <rPr>
        <sz val="11"/>
        <rFont val="宋体"/>
        <family val="3"/>
        <charset val="134"/>
      </rPr>
      <t>海南省</t>
    </r>
  </si>
  <si>
    <r>
      <rPr>
        <sz val="11"/>
        <rFont val="宋体"/>
        <family val="3"/>
        <charset val="134"/>
      </rPr>
      <t>重庆市</t>
    </r>
  </si>
  <si>
    <r>
      <rPr>
        <sz val="11"/>
        <rFont val="宋体"/>
        <family val="3"/>
        <charset val="134"/>
      </rPr>
      <t>四川省</t>
    </r>
  </si>
  <si>
    <r>
      <rPr>
        <sz val="11"/>
        <rFont val="宋体"/>
        <family val="3"/>
        <charset val="134"/>
      </rPr>
      <t>贵州省</t>
    </r>
  </si>
  <si>
    <r>
      <rPr>
        <sz val="11"/>
        <rFont val="宋体"/>
        <family val="3"/>
        <charset val="134"/>
      </rPr>
      <t>云南省</t>
    </r>
  </si>
  <si>
    <r>
      <rPr>
        <sz val="11"/>
        <rFont val="宋体"/>
        <family val="3"/>
        <charset val="134"/>
      </rPr>
      <t>西藏自治区</t>
    </r>
  </si>
  <si>
    <r>
      <rPr>
        <sz val="11"/>
        <rFont val="宋体"/>
        <family val="3"/>
        <charset val="134"/>
      </rPr>
      <t>陕西省</t>
    </r>
  </si>
  <si>
    <r>
      <rPr>
        <sz val="11"/>
        <rFont val="宋体"/>
        <family val="3"/>
        <charset val="134"/>
      </rPr>
      <t>甘肃省</t>
    </r>
  </si>
  <si>
    <r>
      <rPr>
        <sz val="11"/>
        <rFont val="宋体"/>
        <family val="3"/>
        <charset val="134"/>
      </rPr>
      <t>青海省</t>
    </r>
  </si>
  <si>
    <t>宁夏自治区</t>
  </si>
  <si>
    <r>
      <rPr>
        <sz val="11"/>
        <rFont val="宋体"/>
        <family val="3"/>
        <charset val="134"/>
      </rPr>
      <t>新疆自治区</t>
    </r>
  </si>
  <si>
    <r>
      <rPr>
        <sz val="11"/>
        <rFont val="宋体"/>
        <family val="3"/>
        <charset val="134"/>
      </rPr>
      <t>新疆生产建设兵团</t>
    </r>
  </si>
  <si>
    <t>附件1：</t>
    <phoneticPr fontId="63" type="noConversion"/>
  </si>
  <si>
    <t>单位：万元</t>
    <phoneticPr fontId="66" type="noConversion"/>
  </si>
  <si>
    <t>资金数</t>
    <phoneticPr fontId="66" type="noConversion"/>
  </si>
  <si>
    <t>总计</t>
    <phoneticPr fontId="62" type="noConversion"/>
  </si>
  <si>
    <t>2020年农村环境整治资金提前下达安排表</t>
    <phoneticPr fontId="63" type="noConversion"/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</si>
</sst>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.00_);[Red]\(0.00\)"/>
    <numFmt numFmtId="178" formatCode="0_ "/>
    <numFmt numFmtId="179" formatCode="0.00_ "/>
    <numFmt numFmtId="180" formatCode="0.0%"/>
    <numFmt numFmtId="181" formatCode="0.00000"/>
    <numFmt numFmtId="182" formatCode="0.0000000_ "/>
    <numFmt numFmtId="183" formatCode="0.000%"/>
  </numFmts>
  <fonts count="69">
    <font>
      <sz val="11"/>
      <color theme="1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仿宋"/>
      <charset val="134"/>
    </font>
    <font>
      <b/>
      <sz val="10"/>
      <name val="Times New Roman"/>
      <family val="1"/>
    </font>
    <font>
      <sz val="12"/>
      <color rgb="FFFF0000"/>
      <name val="仿宋"/>
      <charset val="134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12"/>
      <color theme="1"/>
      <name val="仿宋"/>
      <charset val="134"/>
    </font>
    <font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2"/>
      <color theme="1"/>
      <name val="仿宋_GB2312"/>
      <family val="3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  <font>
      <sz val="14"/>
      <color rgb="FFFF0000"/>
      <name val="黑体"/>
      <family val="3"/>
      <charset val="134"/>
    </font>
    <font>
      <b/>
      <sz val="10"/>
      <name val="宋体"/>
      <family val="3"/>
      <charset val="134"/>
      <scheme val="major"/>
    </font>
    <font>
      <sz val="12"/>
      <name val="Times New Roman"/>
      <family val="1"/>
    </font>
    <font>
      <sz val="12"/>
      <color rgb="FFFF0000"/>
      <name val="华文仿宋"/>
      <family val="3"/>
      <charset val="134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  <charset val="134"/>
    </font>
    <font>
      <b/>
      <sz val="12"/>
      <color rgb="FFFF0000"/>
      <name val="Times New Roman"/>
      <family val="1"/>
    </font>
    <font>
      <b/>
      <sz val="12"/>
      <name val="仿宋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2"/>
      <name val="华文仿宋"/>
      <family val="3"/>
      <charset val="134"/>
    </font>
    <font>
      <sz val="14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rgb="FF0070C0"/>
      <name val="黑体"/>
      <family val="3"/>
      <charset val="134"/>
    </font>
    <font>
      <b/>
      <sz val="10"/>
      <color rgb="FF0070C0"/>
      <name val="宋体"/>
      <family val="3"/>
      <charset val="134"/>
      <scheme val="major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方正小标宋简体"/>
      <family val="4"/>
      <charset val="134"/>
    </font>
    <font>
      <sz val="15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59" fillId="0" borderId="0" applyFont="0" applyFill="0" applyBorder="0" applyAlignment="0" applyProtection="0">
      <alignment vertical="center"/>
    </xf>
    <xf numFmtId="0" fontId="60" fillId="0" borderId="0"/>
  </cellStyleXfs>
  <cellXfs count="55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8" fontId="6" fillId="2" borderId="1" xfId="1" applyNumberFormat="1" applyFont="1" applyFill="1" applyBorder="1" applyAlignment="1">
      <alignment horizontal="center" vertical="center"/>
    </xf>
    <xf numFmtId="10" fontId="6" fillId="2" borderId="1" xfId="1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0" fontId="6" fillId="3" borderId="1" xfId="1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0" xfId="1" applyNumberFormat="1" applyFont="1">
      <alignment vertical="center"/>
    </xf>
    <xf numFmtId="10" fontId="0" fillId="0" borderId="0" xfId="0" applyNumberFormat="1">
      <alignment vertical="center"/>
    </xf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0" fontId="0" fillId="2" borderId="0" xfId="1" applyNumberFormat="1" applyFont="1" applyFill="1">
      <alignment vertical="center"/>
    </xf>
    <xf numFmtId="0" fontId="8" fillId="0" borderId="1" xfId="0" applyFont="1" applyBorder="1" applyAlignment="1">
      <alignment horizontal="center" vertical="center"/>
    </xf>
    <xf numFmtId="10" fontId="1" fillId="0" borderId="0" xfId="1" applyNumberFormat="1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0" fontId="2" fillId="0" borderId="0" xfId="1" applyNumberFormat="1" applyFont="1">
      <alignment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78" fontId="6" fillId="3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0" fontId="0" fillId="3" borderId="0" xfId="1" applyNumberFormat="1" applyFont="1" applyFill="1">
      <alignment vertical="center"/>
    </xf>
    <xf numFmtId="10" fontId="0" fillId="3" borderId="0" xfId="0" applyNumberFormat="1" applyFill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>
      <alignment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3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/>
    </xf>
    <xf numFmtId="178" fontId="13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80" fontId="13" fillId="0" borderId="1" xfId="1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8" fontId="15" fillId="0" borderId="1" xfId="1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78" fontId="9" fillId="0" borderId="1" xfId="1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11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" fontId="0" fillId="0" borderId="0" xfId="0" applyNumberFormat="1">
      <alignment vertical="center"/>
    </xf>
    <xf numFmtId="2" fontId="11" fillId="0" borderId="0" xfId="0" applyNumberFormat="1" applyFont="1">
      <alignment vertical="center"/>
    </xf>
    <xf numFmtId="179" fontId="13" fillId="2" borderId="1" xfId="0" applyNumberFormat="1" applyFont="1" applyFill="1" applyBorder="1" applyAlignment="1">
      <alignment horizontal="center" vertical="center"/>
    </xf>
    <xf numFmtId="1" fontId="11" fillId="2" borderId="0" xfId="0" applyNumberFormat="1" applyFont="1" applyFill="1">
      <alignment vertical="center"/>
    </xf>
    <xf numFmtId="10" fontId="3" fillId="0" borderId="0" xfId="0" applyNumberFormat="1" applyFont="1">
      <alignment vertical="center"/>
    </xf>
    <xf numFmtId="178" fontId="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0" fontId="11" fillId="0" borderId="0" xfId="1" applyNumberFormat="1" applyFont="1">
      <alignment vertical="center"/>
    </xf>
    <xf numFmtId="10" fontId="11" fillId="0" borderId="0" xfId="0" applyNumberFormat="1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0" fontId="11" fillId="2" borderId="0" xfId="1" applyNumberFormat="1" applyFont="1" applyFill="1">
      <alignment vertical="center"/>
    </xf>
    <xf numFmtId="10" fontId="0" fillId="2" borderId="0" xfId="0" applyNumberFormat="1" applyFill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8" fontId="16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0" fontId="19" fillId="0" borderId="1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10" fontId="3" fillId="0" borderId="0" xfId="1" applyNumberFormat="1" applyFont="1">
      <alignment vertical="center"/>
    </xf>
    <xf numFmtId="1" fontId="3" fillId="0" borderId="0" xfId="0" applyNumberFormat="1" applyFont="1">
      <alignment vertical="center"/>
    </xf>
    <xf numFmtId="0" fontId="0" fillId="0" borderId="1" xfId="0" applyBorder="1">
      <alignment vertical="center"/>
    </xf>
    <xf numFmtId="0" fontId="22" fillId="0" borderId="0" xfId="0" applyFont="1">
      <alignment vertical="center"/>
    </xf>
    <xf numFmtId="1" fontId="0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78" fontId="19" fillId="3" borderId="1" xfId="0" applyNumberFormat="1" applyFont="1" applyFill="1" applyBorder="1" applyAlignment="1">
      <alignment horizontal="center" vertical="center"/>
    </xf>
    <xf numFmtId="10" fontId="19" fillId="3" borderId="1" xfId="1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0" fontId="3" fillId="3" borderId="0" xfId="1" applyNumberFormat="1" applyFont="1" applyFill="1">
      <alignment vertical="center"/>
    </xf>
    <xf numFmtId="1" fontId="3" fillId="3" borderId="0" xfId="0" applyNumberFormat="1" applyFont="1" applyFill="1">
      <alignment vertical="center"/>
    </xf>
    <xf numFmtId="0" fontId="21" fillId="3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/>
    </xf>
    <xf numFmtId="178" fontId="29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78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/>
    </xf>
    <xf numFmtId="178" fontId="34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78" fontId="32" fillId="0" borderId="1" xfId="0" applyNumberFormat="1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2" fontId="11" fillId="0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5" fillId="2" borderId="0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0" fontId="29" fillId="2" borderId="1" xfId="1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0" fontId="39" fillId="3" borderId="1" xfId="0" applyFont="1" applyFill="1" applyBorder="1" applyAlignment="1">
      <alignment vertical="center"/>
    </xf>
    <xf numFmtId="2" fontId="32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31" fillId="2" borderId="0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2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5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5" fillId="0" borderId="3" xfId="0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/>
    </xf>
    <xf numFmtId="0" fontId="40" fillId="0" borderId="0" xfId="0" applyFont="1" applyFill="1">
      <alignment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center" vertical="center"/>
    </xf>
    <xf numFmtId="178" fontId="29" fillId="0" borderId="4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78" fontId="29" fillId="0" borderId="7" xfId="0" applyNumberFormat="1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/>
    </xf>
    <xf numFmtId="178" fontId="29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2" fontId="29" fillId="0" borderId="4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0" fontId="29" fillId="0" borderId="7" xfId="1" applyNumberFormat="1" applyFont="1" applyFill="1" applyBorder="1" applyAlignment="1">
      <alignment horizontal="center" vertical="center"/>
    </xf>
    <xf numFmtId="2" fontId="29" fillId="0" borderId="7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0" fontId="29" fillId="0" borderId="1" xfId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0" fontId="29" fillId="0" borderId="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0" fontId="3" fillId="2" borderId="0" xfId="1" applyNumberFormat="1" applyFont="1" applyFill="1">
      <alignment vertical="center"/>
    </xf>
    <xf numFmtId="1" fontId="3" fillId="2" borderId="0" xfId="0" applyNumberFormat="1" applyFont="1" applyFill="1">
      <alignment vertical="center"/>
    </xf>
    <xf numFmtId="10" fontId="42" fillId="0" borderId="0" xfId="1" applyNumberFormat="1" applyFont="1">
      <alignment vertical="center"/>
    </xf>
    <xf numFmtId="1" fontId="42" fillId="0" borderId="0" xfId="0" applyNumberFormat="1" applyFont="1">
      <alignment vertical="center"/>
    </xf>
    <xf numFmtId="0" fontId="2" fillId="0" borderId="9" xfId="0" applyFont="1" applyFill="1" applyBorder="1">
      <alignment vertical="center"/>
    </xf>
    <xf numFmtId="0" fontId="29" fillId="0" borderId="13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6" fontId="25" fillId="0" borderId="3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176" fontId="28" fillId="0" borderId="4" xfId="0" applyNumberFormat="1" applyFont="1" applyFill="1" applyBorder="1" applyAlignment="1">
      <alignment horizontal="center" vertical="center" wrapText="1"/>
    </xf>
    <xf numFmtId="176" fontId="29" fillId="2" borderId="1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76" fontId="29" fillId="2" borderId="7" xfId="0" applyNumberFormat="1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176" fontId="29" fillId="3" borderId="1" xfId="0" applyNumberFormat="1" applyFont="1" applyFill="1" applyBorder="1" applyAlignment="1">
      <alignment horizontal="center" vertical="center"/>
    </xf>
    <xf numFmtId="176" fontId="29" fillId="3" borderId="7" xfId="0" applyNumberFormat="1" applyFont="1" applyFill="1" applyBorder="1" applyAlignment="1">
      <alignment horizontal="center" vertical="center"/>
    </xf>
    <xf numFmtId="178" fontId="31" fillId="3" borderId="1" xfId="0" applyNumberFormat="1" applyFont="1" applyFill="1" applyBorder="1" applyAlignment="1">
      <alignment horizontal="center" vertical="center"/>
    </xf>
    <xf numFmtId="176" fontId="29" fillId="4" borderId="1" xfId="0" applyNumberFormat="1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178" fontId="31" fillId="2" borderId="1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76" fontId="31" fillId="2" borderId="1" xfId="0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 wrapText="1"/>
    </xf>
    <xf numFmtId="178" fontId="28" fillId="0" borderId="4" xfId="0" applyNumberFormat="1" applyFont="1" applyFill="1" applyBorder="1" applyAlignment="1">
      <alignment horizontal="center" vertical="center" wrapText="1"/>
    </xf>
    <xf numFmtId="178" fontId="43" fillId="0" borderId="4" xfId="0" applyNumberFormat="1" applyFont="1" applyFill="1" applyBorder="1" applyAlignment="1">
      <alignment horizontal="center" vertical="center" wrapText="1"/>
    </xf>
    <xf numFmtId="2" fontId="28" fillId="0" borderId="4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" fontId="29" fillId="2" borderId="7" xfId="0" applyNumberFormat="1" applyFont="1" applyFill="1" applyBorder="1" applyAlignment="1">
      <alignment horizontal="center" vertical="center"/>
    </xf>
    <xf numFmtId="178" fontId="29" fillId="2" borderId="7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 wrapText="1"/>
    </xf>
    <xf numFmtId="10" fontId="29" fillId="2" borderId="7" xfId="1" applyNumberFormat="1" applyFont="1" applyFill="1" applyBorder="1" applyAlignment="1">
      <alignment horizontal="center" vertical="center"/>
    </xf>
    <xf numFmtId="2" fontId="29" fillId="2" borderId="7" xfId="0" applyNumberFormat="1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178" fontId="29" fillId="3" borderId="1" xfId="0" applyNumberFormat="1" applyFont="1" applyFill="1" applyBorder="1" applyAlignment="1">
      <alignment horizontal="center" vertical="center"/>
    </xf>
    <xf numFmtId="10" fontId="29" fillId="3" borderId="7" xfId="1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1" fontId="31" fillId="2" borderId="7" xfId="0" applyNumberFormat="1" applyFont="1" applyFill="1" applyBorder="1" applyAlignment="1">
      <alignment horizontal="center" vertical="center"/>
    </xf>
    <xf numFmtId="178" fontId="31" fillId="2" borderId="7" xfId="0" applyNumberFormat="1" applyFont="1" applyFill="1" applyBorder="1" applyAlignment="1">
      <alignment horizontal="center" vertical="center"/>
    </xf>
    <xf numFmtId="2" fontId="31" fillId="2" borderId="7" xfId="0" applyNumberFormat="1" applyFont="1" applyFill="1" applyBorder="1" applyAlignment="1">
      <alignment horizontal="center" vertical="center"/>
    </xf>
    <xf numFmtId="1" fontId="29" fillId="3" borderId="7" xfId="0" applyNumberFormat="1" applyFont="1" applyFill="1" applyBorder="1" applyAlignment="1">
      <alignment horizontal="center" vertical="center"/>
    </xf>
    <xf numFmtId="178" fontId="29" fillId="3" borderId="7" xfId="0" applyNumberFormat="1" applyFont="1" applyFill="1" applyBorder="1" applyAlignment="1">
      <alignment horizontal="center" vertical="center"/>
    </xf>
    <xf numFmtId="178" fontId="31" fillId="3" borderId="7" xfId="0" applyNumberFormat="1" applyFont="1" applyFill="1" applyBorder="1" applyAlignment="1">
      <alignment horizontal="center" vertical="center"/>
    </xf>
    <xf numFmtId="2" fontId="29" fillId="3" borderId="7" xfId="0" applyNumberFormat="1" applyFont="1" applyFill="1" applyBorder="1" applyAlignment="1">
      <alignment horizontal="center" vertical="center"/>
    </xf>
    <xf numFmtId="1" fontId="31" fillId="2" borderId="4" xfId="0" applyNumberFormat="1" applyFont="1" applyFill="1" applyBorder="1" applyAlignment="1">
      <alignment horizontal="center" vertical="center"/>
    </xf>
    <xf numFmtId="178" fontId="31" fillId="2" borderId="4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3" fillId="2" borderId="1" xfId="1" applyNumberFormat="1" applyFont="1" applyFill="1" applyBorder="1">
      <alignment vertical="center"/>
    </xf>
    <xf numFmtId="1" fontId="3" fillId="2" borderId="1" xfId="0" applyNumberFormat="1" applyFont="1" applyFill="1" applyBorder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0" fontId="42" fillId="2" borderId="0" xfId="1" applyNumberFormat="1" applyFont="1" applyFill="1">
      <alignment vertical="center"/>
    </xf>
    <xf numFmtId="1" fontId="42" fillId="2" borderId="0" xfId="0" applyNumberFormat="1" applyFont="1" applyFill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3" borderId="10" xfId="0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42" fillId="2" borderId="0" xfId="0" applyFont="1" applyFill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 wrapText="1"/>
    </xf>
    <xf numFmtId="0" fontId="40" fillId="2" borderId="0" xfId="0" applyFont="1" applyFill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176" fontId="29" fillId="0" borderId="7" xfId="0" applyNumberFormat="1" applyFont="1" applyFill="1" applyBorder="1" applyAlignment="1">
      <alignment horizontal="center" vertical="center"/>
    </xf>
    <xf numFmtId="0" fontId="39" fillId="2" borderId="0" xfId="0" applyFont="1" applyFill="1">
      <alignment vertical="center"/>
    </xf>
    <xf numFmtId="0" fontId="32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176" fontId="32" fillId="0" borderId="7" xfId="0" applyNumberFormat="1" applyFont="1" applyFill="1" applyBorder="1" applyAlignment="1">
      <alignment horizontal="center" vertical="center"/>
    </xf>
    <xf numFmtId="178" fontId="32" fillId="0" borderId="7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178" fontId="39" fillId="0" borderId="1" xfId="0" applyNumberFormat="1" applyFont="1" applyFill="1" applyBorder="1" applyAlignment="1">
      <alignment horizontal="center" vertical="center"/>
    </xf>
    <xf numFmtId="10" fontId="32" fillId="0" borderId="1" xfId="1" applyNumberFormat="1" applyFont="1" applyFill="1" applyBorder="1" applyAlignment="1">
      <alignment horizontal="center" vertical="center"/>
    </xf>
    <xf numFmtId="2" fontId="32" fillId="0" borderId="7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10" fontId="44" fillId="3" borderId="0" xfId="1" applyNumberFormat="1" applyFont="1" applyFill="1">
      <alignment vertical="center"/>
    </xf>
    <xf numFmtId="0" fontId="39" fillId="3" borderId="15" xfId="0" applyFont="1" applyFill="1" applyBorder="1" applyAlignment="1">
      <alignment vertical="center"/>
    </xf>
    <xf numFmtId="0" fontId="44" fillId="3" borderId="0" xfId="0" applyFont="1" applyFill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45" fillId="2" borderId="0" xfId="0" applyFont="1" applyFill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1" fontId="44" fillId="3" borderId="0" xfId="0" applyNumberFormat="1" applyFont="1" applyFill="1">
      <alignment vertical="center"/>
    </xf>
    <xf numFmtId="0" fontId="21" fillId="3" borderId="0" xfId="0" applyFont="1" applyFill="1" applyAlignment="1">
      <alignment horizontal="center" vertical="center"/>
    </xf>
    <xf numFmtId="2" fontId="32" fillId="3" borderId="7" xfId="0" applyNumberFormat="1" applyFont="1" applyFill="1" applyBorder="1" applyAlignment="1">
      <alignment horizontal="center" vertical="center"/>
    </xf>
    <xf numFmtId="1" fontId="45" fillId="2" borderId="0" xfId="0" applyNumberFormat="1" applyFont="1" applyFill="1">
      <alignment vertical="center"/>
    </xf>
    <xf numFmtId="0" fontId="1" fillId="2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8" fontId="25" fillId="0" borderId="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176" fontId="28" fillId="0" borderId="16" xfId="0" applyNumberFormat="1" applyFont="1" applyFill="1" applyBorder="1" applyAlignment="1">
      <alignment horizontal="center" vertical="center" wrapText="1"/>
    </xf>
    <xf numFmtId="178" fontId="28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178" fontId="29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178" fontId="31" fillId="0" borderId="1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176" fontId="32" fillId="0" borderId="16" xfId="0" applyNumberFormat="1" applyFont="1" applyFill="1" applyBorder="1" applyAlignment="1">
      <alignment horizontal="center" vertical="center"/>
    </xf>
    <xf numFmtId="178" fontId="32" fillId="0" borderId="1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/>
    </xf>
    <xf numFmtId="1" fontId="29" fillId="0" borderId="16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178" fontId="39" fillId="0" borderId="16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Border="1">
      <alignment vertical="center"/>
    </xf>
    <xf numFmtId="2" fontId="29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10" fontId="29" fillId="0" borderId="16" xfId="1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0" fontId="3" fillId="2" borderId="16" xfId="1" applyNumberFormat="1" applyFont="1" applyFill="1" applyBorder="1">
      <alignment vertical="center"/>
    </xf>
    <xf numFmtId="1" fontId="3" fillId="2" borderId="16" xfId="0" applyNumberFormat="1" applyFont="1" applyFill="1" applyBorder="1">
      <alignment vertical="center"/>
    </xf>
    <xf numFmtId="0" fontId="13" fillId="3" borderId="16" xfId="0" applyFont="1" applyFill="1" applyBorder="1" applyAlignment="1">
      <alignment horizontal="center" vertical="center"/>
    </xf>
    <xf numFmtId="10" fontId="3" fillId="3" borderId="16" xfId="1" applyNumberFormat="1" applyFont="1" applyFill="1" applyBorder="1">
      <alignment vertical="center"/>
    </xf>
    <xf numFmtId="1" fontId="3" fillId="3" borderId="16" xfId="0" applyNumberFormat="1" applyFont="1" applyFill="1" applyBorder="1">
      <alignment vertical="center"/>
    </xf>
    <xf numFmtId="10" fontId="32" fillId="0" borderId="16" xfId="1" applyNumberFormat="1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10" fontId="44" fillId="3" borderId="16" xfId="1" applyNumberFormat="1" applyFont="1" applyFill="1" applyBorder="1">
      <alignment vertical="center"/>
    </xf>
    <xf numFmtId="1" fontId="44" fillId="3" borderId="16" xfId="0" applyNumberFormat="1" applyFont="1" applyFill="1" applyBorder="1">
      <alignment vertical="center"/>
    </xf>
    <xf numFmtId="10" fontId="42" fillId="2" borderId="16" xfId="1" applyNumberFormat="1" applyFont="1" applyFill="1" applyBorder="1">
      <alignment vertical="center"/>
    </xf>
    <xf numFmtId="1" fontId="42" fillId="2" borderId="16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2" fillId="3" borderId="16" xfId="0" applyFont="1" applyFill="1" applyBorder="1" applyAlignment="1">
      <alignment vertical="center"/>
    </xf>
    <xf numFmtId="0" fontId="3" fillId="3" borderId="16" xfId="0" applyFont="1" applyFill="1" applyBorder="1">
      <alignment vertical="center"/>
    </xf>
    <xf numFmtId="0" fontId="39" fillId="3" borderId="16" xfId="0" applyFont="1" applyFill="1" applyBorder="1" applyAlignment="1">
      <alignment vertical="center"/>
    </xf>
    <xf numFmtId="0" fontId="44" fillId="3" borderId="16" xfId="0" applyFont="1" applyFill="1" applyBorder="1">
      <alignment vertical="center"/>
    </xf>
    <xf numFmtId="0" fontId="34" fillId="2" borderId="16" xfId="0" applyFont="1" applyFill="1" applyBorder="1" applyAlignment="1">
      <alignment horizontal="center" vertical="center"/>
    </xf>
    <xf numFmtId="0" fontId="45" fillId="2" borderId="16" xfId="0" applyFont="1" applyFill="1" applyBorder="1">
      <alignment vertical="center"/>
    </xf>
    <xf numFmtId="1" fontId="45" fillId="2" borderId="16" xfId="0" applyNumberFormat="1" applyFont="1" applyFill="1" applyBorder="1">
      <alignment vertical="center"/>
    </xf>
    <xf numFmtId="0" fontId="28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2" fontId="29" fillId="2" borderId="16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29" fillId="3" borderId="16" xfId="0" applyNumberFormat="1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2" fontId="32" fillId="3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76" fontId="23" fillId="2" borderId="1" xfId="0" applyNumberFormat="1" applyFont="1" applyFill="1" applyBorder="1" applyAlignment="1">
      <alignment horizontal="center" vertical="center" wrapText="1"/>
    </xf>
    <xf numFmtId="178" fontId="43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6" fontId="32" fillId="2" borderId="0" xfId="0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176" fontId="32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178" fontId="3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176" fontId="47" fillId="2" borderId="1" xfId="0" applyNumberFormat="1" applyFont="1" applyFill="1" applyBorder="1" applyAlignment="1">
      <alignment horizontal="center" vertical="center"/>
    </xf>
    <xf numFmtId="178" fontId="32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19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2" fontId="47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176" fontId="28" fillId="2" borderId="1" xfId="0" applyNumberFormat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1" fillId="4" borderId="0" xfId="0" applyFont="1" applyFill="1">
      <alignment vertical="center"/>
    </xf>
    <xf numFmtId="183" fontId="0" fillId="2" borderId="0" xfId="1" applyNumberFormat="1" applyFont="1" applyFill="1" applyAlignment="1">
      <alignment horizontal="center" vertical="center"/>
    </xf>
    <xf numFmtId="176" fontId="34" fillId="2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76" fontId="32" fillId="4" borderId="1" xfId="0" applyNumberFormat="1" applyFont="1" applyFill="1" applyBorder="1" applyAlignment="1">
      <alignment horizontal="center" vertical="center"/>
    </xf>
    <xf numFmtId="176" fontId="19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178" fontId="31" fillId="4" borderId="1" xfId="0" applyNumberFormat="1" applyFont="1" applyFill="1" applyBorder="1" applyAlignment="1">
      <alignment horizontal="center" vertical="center"/>
    </xf>
    <xf numFmtId="183" fontId="0" fillId="2" borderId="0" xfId="1" applyNumberFormat="1" applyFont="1" applyFill="1" applyBorder="1" applyAlignment="1">
      <alignment horizontal="center" vertical="center"/>
    </xf>
    <xf numFmtId="183" fontId="16" fillId="2" borderId="0" xfId="1" applyNumberFormat="1" applyFont="1" applyFill="1" applyBorder="1" applyAlignment="1">
      <alignment horizontal="center" vertical="center"/>
    </xf>
    <xf numFmtId="183" fontId="23" fillId="2" borderId="1" xfId="1" applyNumberFormat="1" applyFont="1" applyFill="1" applyBorder="1" applyAlignment="1">
      <alignment horizontal="center" vertical="center" wrapText="1"/>
    </xf>
    <xf numFmtId="183" fontId="19" fillId="2" borderId="1" xfId="1" applyNumberFormat="1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183" fontId="19" fillId="4" borderId="1" xfId="1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center" vertical="center"/>
    </xf>
    <xf numFmtId="183" fontId="19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176" fontId="48" fillId="0" borderId="1" xfId="0" applyNumberFormat="1" applyFont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61" fillId="2" borderId="0" xfId="2" applyFont="1" applyFill="1" applyAlignment="1">
      <alignment horizontal="left" vertical="center"/>
    </xf>
    <xf numFmtId="0" fontId="49" fillId="2" borderId="0" xfId="2" applyFont="1" applyFill="1" applyAlignment="1">
      <alignment horizontal="center" vertical="center"/>
    </xf>
    <xf numFmtId="0" fontId="65" fillId="2" borderId="0" xfId="2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48" fillId="2" borderId="1" xfId="2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67" fillId="2" borderId="0" xfId="0" applyFont="1" applyFill="1">
      <alignment vertical="center"/>
    </xf>
    <xf numFmtId="0" fontId="68" fillId="2" borderId="0" xfId="0" applyFont="1" applyFill="1">
      <alignment vertical="center"/>
    </xf>
    <xf numFmtId="0" fontId="55" fillId="2" borderId="0" xfId="0" applyFont="1" applyFill="1">
      <alignment vertical="center"/>
    </xf>
    <xf numFmtId="176" fontId="49" fillId="0" borderId="1" xfId="0" applyNumberFormat="1" applyFont="1" applyBorder="1" applyAlignment="1">
      <alignment horizontal="center" vertical="center"/>
    </xf>
    <xf numFmtId="0" fontId="64" fillId="2" borderId="0" xfId="2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9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</cellXfs>
  <cellStyles count="3">
    <cellStyle name="百分比" xfId="1" builtinId="5"/>
    <cellStyle name="常规" xfId="0" builtinId="0"/>
    <cellStyle name="常规_20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B5" sqref="B5"/>
    </sheetView>
  </sheetViews>
  <sheetFormatPr defaultColWidth="9" defaultRowHeight="14.4"/>
  <cols>
    <col min="1" max="1" width="13.44140625" style="164" customWidth="1"/>
    <col min="2" max="2" width="32.77734375" style="442" customWidth="1"/>
    <col min="3" max="3" width="32.77734375" style="522" customWidth="1"/>
    <col min="4" max="16" width="9" style="521"/>
    <col min="17" max="16384" width="9" style="523"/>
  </cols>
  <sheetData>
    <row r="1" spans="1:3" s="5" customFormat="1" ht="23.25" customHeight="1">
      <c r="A1" s="526" t="s">
        <v>230</v>
      </c>
      <c r="B1" s="527"/>
      <c r="C1" s="527"/>
    </row>
    <row r="2" spans="1:3" s="5" customFormat="1" ht="28.8" customHeight="1">
      <c r="A2" s="536" t="s">
        <v>234</v>
      </c>
      <c r="B2" s="536"/>
      <c r="C2" s="536"/>
    </row>
    <row r="3" spans="1:3" s="5" customFormat="1" ht="32.4" customHeight="1">
      <c r="A3" s="528"/>
      <c r="B3" s="336"/>
      <c r="C3" s="529" t="s">
        <v>231</v>
      </c>
    </row>
    <row r="4" spans="1:3" s="532" customFormat="1" ht="21.6" customHeight="1">
      <c r="A4" s="531" t="s">
        <v>1</v>
      </c>
      <c r="B4" s="531" t="s">
        <v>2</v>
      </c>
      <c r="C4" s="530" t="s">
        <v>232</v>
      </c>
    </row>
    <row r="5" spans="1:3" s="533" customFormat="1" ht="21.6" customHeight="1">
      <c r="A5" s="474"/>
      <c r="B5" s="467" t="s">
        <v>233</v>
      </c>
      <c r="C5" s="524">
        <f>SUM(C6:C33)</f>
        <v>418181</v>
      </c>
    </row>
    <row r="6" spans="1:3" s="534" customFormat="1" ht="21.6" customHeight="1">
      <c r="A6" s="459">
        <v>1</v>
      </c>
      <c r="B6" s="525" t="s">
        <v>6</v>
      </c>
      <c r="C6" s="535">
        <v>2690</v>
      </c>
    </row>
    <row r="7" spans="1:3" s="534" customFormat="1" ht="21.6" customHeight="1">
      <c r="A7" s="459">
        <v>2</v>
      </c>
      <c r="B7" s="525" t="s">
        <v>7</v>
      </c>
      <c r="C7" s="535">
        <v>2402</v>
      </c>
    </row>
    <row r="8" spans="1:3" s="534" customFormat="1" ht="21.6" customHeight="1">
      <c r="A8" s="459">
        <v>3</v>
      </c>
      <c r="B8" s="525" t="s">
        <v>8</v>
      </c>
      <c r="C8" s="535">
        <v>38424</v>
      </c>
    </row>
    <row r="9" spans="1:3" s="534" customFormat="1" ht="21.6" customHeight="1">
      <c r="A9" s="459">
        <v>4</v>
      </c>
      <c r="B9" s="525" t="s">
        <v>9</v>
      </c>
      <c r="C9" s="535">
        <v>8867</v>
      </c>
    </row>
    <row r="10" spans="1:3" s="534" customFormat="1" ht="21.6" customHeight="1">
      <c r="A10" s="459">
        <v>5</v>
      </c>
      <c r="B10" s="525" t="s">
        <v>10</v>
      </c>
      <c r="C10" s="535">
        <v>5320</v>
      </c>
    </row>
    <row r="11" spans="1:3" s="534" customFormat="1" ht="21.6" customHeight="1">
      <c r="A11" s="459">
        <v>6</v>
      </c>
      <c r="B11" s="525" t="s">
        <v>11</v>
      </c>
      <c r="C11" s="535">
        <v>7387</v>
      </c>
    </row>
    <row r="12" spans="1:3" s="534" customFormat="1" ht="21.6" customHeight="1">
      <c r="A12" s="459">
        <v>7</v>
      </c>
      <c r="B12" s="525" t="s">
        <v>12</v>
      </c>
      <c r="C12" s="535">
        <v>5398</v>
      </c>
    </row>
    <row r="13" spans="1:3" s="534" customFormat="1" ht="21.6" customHeight="1">
      <c r="A13" s="459">
        <v>8</v>
      </c>
      <c r="B13" s="525" t="s">
        <v>13</v>
      </c>
      <c r="C13" s="535">
        <v>2956</v>
      </c>
    </row>
    <row r="14" spans="1:3" s="534" customFormat="1" ht="21.6" customHeight="1">
      <c r="A14" s="459">
        <v>9</v>
      </c>
      <c r="B14" s="525" t="s">
        <v>14</v>
      </c>
      <c r="C14" s="535">
        <v>1920</v>
      </c>
    </row>
    <row r="15" spans="1:3" s="534" customFormat="1" ht="21.6" customHeight="1">
      <c r="A15" s="459">
        <v>10</v>
      </c>
      <c r="B15" s="525" t="s">
        <v>15</v>
      </c>
      <c r="C15" s="535">
        <v>18049</v>
      </c>
    </row>
    <row r="16" spans="1:3" s="534" customFormat="1" ht="21.6" customHeight="1">
      <c r="A16" s="459">
        <v>11</v>
      </c>
      <c r="B16" s="525" t="s">
        <v>16</v>
      </c>
      <c r="C16" s="535">
        <v>12490</v>
      </c>
    </row>
    <row r="17" spans="1:3" s="534" customFormat="1" ht="21.6" customHeight="1">
      <c r="A17" s="459">
        <v>12</v>
      </c>
      <c r="B17" s="525" t="s">
        <v>17</v>
      </c>
      <c r="C17" s="535">
        <v>36490</v>
      </c>
    </row>
    <row r="18" spans="1:3" s="534" customFormat="1" ht="21.6" customHeight="1">
      <c r="A18" s="459">
        <v>13</v>
      </c>
      <c r="B18" s="525" t="s">
        <v>18</v>
      </c>
      <c r="C18" s="535">
        <v>38422</v>
      </c>
    </row>
    <row r="19" spans="1:3" s="534" customFormat="1" ht="21.6" customHeight="1">
      <c r="A19" s="459">
        <v>14</v>
      </c>
      <c r="B19" s="525" t="s">
        <v>19</v>
      </c>
      <c r="C19" s="535">
        <v>36433</v>
      </c>
    </row>
    <row r="20" spans="1:3" s="534" customFormat="1" ht="21.6" customHeight="1">
      <c r="A20" s="459">
        <v>15</v>
      </c>
      <c r="B20" s="525" t="s">
        <v>20</v>
      </c>
      <c r="C20" s="535">
        <v>19212</v>
      </c>
    </row>
    <row r="21" spans="1:3" s="534" customFormat="1" ht="21.6" customHeight="1">
      <c r="A21" s="459">
        <v>16</v>
      </c>
      <c r="B21" s="525" t="s">
        <v>21</v>
      </c>
      <c r="C21" s="535">
        <v>21397</v>
      </c>
    </row>
    <row r="22" spans="1:3" s="534" customFormat="1" ht="21.6" customHeight="1">
      <c r="A22" s="459">
        <v>17</v>
      </c>
      <c r="B22" s="525" t="s">
        <v>22</v>
      </c>
      <c r="C22" s="535">
        <v>17291</v>
      </c>
    </row>
    <row r="23" spans="1:3" s="534" customFormat="1" ht="21.6" customHeight="1">
      <c r="A23" s="459">
        <v>18</v>
      </c>
      <c r="B23" s="525" t="s">
        <v>23</v>
      </c>
      <c r="C23" s="535">
        <v>9831</v>
      </c>
    </row>
    <row r="24" spans="1:3" s="534" customFormat="1" ht="21.6" customHeight="1">
      <c r="A24" s="459">
        <v>19</v>
      </c>
      <c r="B24" s="525" t="s">
        <v>24</v>
      </c>
      <c r="C24" s="535">
        <v>2693</v>
      </c>
    </row>
    <row r="25" spans="1:3" s="534" customFormat="1" ht="21.6" customHeight="1">
      <c r="A25" s="459">
        <v>20</v>
      </c>
      <c r="B25" s="525" t="s">
        <v>25</v>
      </c>
      <c r="C25" s="535">
        <v>9750</v>
      </c>
    </row>
    <row r="26" spans="1:3" s="534" customFormat="1" ht="21.6" customHeight="1">
      <c r="A26" s="459">
        <v>21</v>
      </c>
      <c r="B26" s="525" t="s">
        <v>26</v>
      </c>
      <c r="C26" s="535">
        <v>26602</v>
      </c>
    </row>
    <row r="27" spans="1:3" s="534" customFormat="1" ht="21.6" customHeight="1">
      <c r="A27" s="459">
        <v>22</v>
      </c>
      <c r="B27" s="525" t="s">
        <v>27</v>
      </c>
      <c r="C27" s="535">
        <v>13234</v>
      </c>
    </row>
    <row r="28" spans="1:3" s="534" customFormat="1" ht="21.6" customHeight="1">
      <c r="A28" s="459">
        <v>23</v>
      </c>
      <c r="B28" s="525" t="s">
        <v>28</v>
      </c>
      <c r="C28" s="535">
        <v>27782</v>
      </c>
    </row>
    <row r="29" spans="1:3" s="534" customFormat="1" ht="21.6" customHeight="1">
      <c r="A29" s="459">
        <v>24</v>
      </c>
      <c r="B29" s="525" t="s">
        <v>29</v>
      </c>
      <c r="C29" s="535">
        <v>9808</v>
      </c>
    </row>
    <row r="30" spans="1:3" s="534" customFormat="1" ht="21.6" customHeight="1">
      <c r="A30" s="459">
        <v>25</v>
      </c>
      <c r="B30" s="525" t="s">
        <v>30</v>
      </c>
      <c r="C30" s="535">
        <v>14700</v>
      </c>
    </row>
    <row r="31" spans="1:3" s="534" customFormat="1" ht="21.6" customHeight="1">
      <c r="A31" s="459">
        <v>26</v>
      </c>
      <c r="B31" s="525" t="s">
        <v>31</v>
      </c>
      <c r="C31" s="535">
        <v>6942</v>
      </c>
    </row>
    <row r="32" spans="1:3" s="534" customFormat="1" ht="21.6" customHeight="1">
      <c r="A32" s="459">
        <v>27</v>
      </c>
      <c r="B32" s="525" t="s">
        <v>32</v>
      </c>
      <c r="C32" s="535">
        <v>10000</v>
      </c>
    </row>
    <row r="33" spans="1:3" s="534" customFormat="1" ht="21.6" customHeight="1">
      <c r="A33" s="459">
        <v>28</v>
      </c>
      <c r="B33" s="525" t="s">
        <v>33</v>
      </c>
      <c r="C33" s="535">
        <v>11691</v>
      </c>
    </row>
  </sheetData>
  <mergeCells count="1">
    <mergeCell ref="A2:C2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 r:id="rId1"/>
  <ignoredErrors>
    <ignoredError sqref="C5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2"/>
  <sheetViews>
    <sheetView topLeftCell="A4" workbookViewId="0">
      <selection activeCell="D8" sqref="D8"/>
    </sheetView>
  </sheetViews>
  <sheetFormatPr defaultColWidth="9" defaultRowHeight="14.4"/>
  <cols>
    <col min="1" max="1" width="6.6640625" style="164" customWidth="1"/>
    <col min="2" max="2" width="14.77734375" style="165" customWidth="1"/>
    <col min="3" max="3" width="12.33203125" style="166" customWidth="1"/>
    <col min="4" max="4" width="18.109375" style="167" customWidth="1"/>
    <col min="5" max="5" width="15.21875" style="166" customWidth="1"/>
    <col min="6" max="6" width="13.21875" style="168" customWidth="1"/>
    <col min="7" max="7" width="12.44140625" style="169" customWidth="1"/>
    <col min="8" max="8" width="12.109375" style="166" customWidth="1"/>
    <col min="9" max="9" width="9.77734375" style="170" customWidth="1"/>
    <col min="10" max="10" width="10.44140625" style="164" customWidth="1"/>
    <col min="11" max="12" width="8.88671875" style="164" customWidth="1"/>
    <col min="13" max="13" width="12.77734375" style="164" customWidth="1"/>
    <col min="14" max="14" width="14.77734375" customWidth="1"/>
    <col min="15" max="15" width="12.44140625" style="5" customWidth="1"/>
    <col min="16" max="16" width="11.21875" customWidth="1"/>
    <col min="17" max="30" width="9" style="1"/>
  </cols>
  <sheetData>
    <row r="1" spans="1:30" ht="17.399999999999999">
      <c r="A1" s="171" t="s">
        <v>0</v>
      </c>
      <c r="B1" s="172"/>
      <c r="C1" s="173"/>
      <c r="D1" s="174"/>
      <c r="E1" s="173"/>
      <c r="F1" s="174"/>
      <c r="G1" s="175"/>
      <c r="H1" s="173"/>
      <c r="I1" s="209"/>
      <c r="J1" s="173"/>
      <c r="K1" s="173"/>
      <c r="L1" s="173"/>
      <c r="M1" s="173"/>
      <c r="N1" s="210"/>
    </row>
    <row r="2" spans="1:30">
      <c r="A2" s="176"/>
      <c r="B2" s="172"/>
      <c r="C2" s="173"/>
      <c r="D2" s="174"/>
      <c r="E2" s="173"/>
      <c r="F2" s="174"/>
      <c r="G2" s="175"/>
      <c r="H2" s="173"/>
      <c r="I2" s="209"/>
      <c r="J2" s="173"/>
      <c r="K2" s="173"/>
      <c r="L2" s="173"/>
      <c r="M2" s="173"/>
      <c r="N2" s="210"/>
    </row>
    <row r="3" spans="1:30" ht="20.399999999999999">
      <c r="A3" s="537" t="s">
        <v>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8"/>
    </row>
    <row r="4" spans="1:30" ht="17.399999999999999">
      <c r="A4" s="177"/>
      <c r="B4" s="178"/>
      <c r="C4" s="177"/>
      <c r="D4" s="179"/>
      <c r="E4" s="177"/>
      <c r="F4" s="179"/>
      <c r="G4" s="180"/>
      <c r="H4" s="177"/>
      <c r="I4" s="211"/>
      <c r="J4" s="177"/>
      <c r="K4" s="177"/>
      <c r="L4" s="177"/>
      <c r="M4" s="177"/>
      <c r="N4" s="210"/>
    </row>
    <row r="5" spans="1:30" s="141" customFormat="1" ht="51" customHeight="1">
      <c r="A5" s="181" t="s">
        <v>1</v>
      </c>
      <c r="B5" s="181" t="s">
        <v>2</v>
      </c>
      <c r="C5" s="181" t="s">
        <v>36</v>
      </c>
      <c r="D5" s="182" t="s">
        <v>37</v>
      </c>
      <c r="E5" s="181" t="s">
        <v>38</v>
      </c>
      <c r="F5" s="182" t="s">
        <v>39</v>
      </c>
      <c r="G5" s="183" t="s">
        <v>5</v>
      </c>
      <c r="H5" s="181" t="s">
        <v>41</v>
      </c>
      <c r="I5" s="212" t="s">
        <v>42</v>
      </c>
      <c r="J5" s="181" t="s">
        <v>43</v>
      </c>
      <c r="K5" s="181" t="s">
        <v>44</v>
      </c>
      <c r="L5" s="181" t="s">
        <v>45</v>
      </c>
      <c r="M5" s="181" t="s">
        <v>4</v>
      </c>
      <c r="N5" s="181" t="s">
        <v>81</v>
      </c>
      <c r="O5" s="181" t="s">
        <v>46</v>
      </c>
      <c r="P5" s="213" t="s">
        <v>47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s="3" customFormat="1" ht="15.6">
      <c r="A6" s="184"/>
      <c r="B6" s="185" t="s">
        <v>86</v>
      </c>
      <c r="C6" s="186">
        <f>C19+C28+C38</f>
        <v>421251</v>
      </c>
      <c r="D6" s="187">
        <f>SUM(D7:D38)</f>
        <v>307783</v>
      </c>
      <c r="E6" s="187">
        <f>SUM(E7:E38)</f>
        <v>420037</v>
      </c>
      <c r="F6" s="187">
        <f>SUM(F7:F37)</f>
        <v>378037</v>
      </c>
      <c r="G6" s="188"/>
      <c r="H6" s="184">
        <f>SUM(H7:H38)</f>
        <v>42000</v>
      </c>
      <c r="I6" s="214">
        <f>SUM(I7:I38)</f>
        <v>1</v>
      </c>
      <c r="J6" s="184">
        <f>SUM(J7:J37)</f>
        <v>24330</v>
      </c>
      <c r="K6" s="184"/>
      <c r="L6" s="184"/>
      <c r="M6" s="184"/>
      <c r="N6" s="184"/>
      <c r="O6" s="215">
        <f>SUM(O7:O38)</f>
        <v>16382.36</v>
      </c>
      <c r="P6" s="21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0" s="1" customFormat="1" ht="16.8">
      <c r="A7" s="184">
        <v>1</v>
      </c>
      <c r="B7" s="185" t="s">
        <v>87</v>
      </c>
      <c r="C7" s="187">
        <f>D7+H7</f>
        <v>2249</v>
      </c>
      <c r="D7" s="187">
        <f>F7*(1-0.185)</f>
        <v>2249</v>
      </c>
      <c r="E7" s="187">
        <f>SUM(F7+H7)</f>
        <v>2759</v>
      </c>
      <c r="F7" s="187">
        <f>(42-4.2)*10000*I7</f>
        <v>2759</v>
      </c>
      <c r="G7" s="189" t="s">
        <v>50</v>
      </c>
      <c r="H7" s="184">
        <v>0</v>
      </c>
      <c r="I7" s="217">
        <f>O7/16382.36</f>
        <v>7.3000000000000001E-3</v>
      </c>
      <c r="J7" s="184">
        <v>140</v>
      </c>
      <c r="K7" s="184">
        <v>1</v>
      </c>
      <c r="L7" s="218">
        <v>1</v>
      </c>
      <c r="M7" s="218">
        <v>0.85</v>
      </c>
      <c r="N7" s="83" t="s">
        <v>82</v>
      </c>
      <c r="O7" s="192">
        <f>J7*K7*L7*M7</f>
        <v>119</v>
      </c>
      <c r="P7" s="214">
        <v>0.65</v>
      </c>
    </row>
    <row r="8" spans="1:30" s="1" customFormat="1" ht="16.8">
      <c r="A8" s="184">
        <v>2</v>
      </c>
      <c r="B8" s="185" t="s">
        <v>88</v>
      </c>
      <c r="C8" s="187">
        <f t="shared" ref="C8:C11" si="0">D8+H8</f>
        <v>2002</v>
      </c>
      <c r="D8" s="187">
        <f t="shared" ref="D8:D18" si="1">F8*(1-0.185)</f>
        <v>2002</v>
      </c>
      <c r="E8" s="187">
        <f t="shared" ref="E8:E18" si="2">SUM(F8+H8)</f>
        <v>2457</v>
      </c>
      <c r="F8" s="187">
        <f t="shared" ref="F8:F18" si="3">(42-4.2)*10000*I8</f>
        <v>2457</v>
      </c>
      <c r="G8" s="189" t="s">
        <v>50</v>
      </c>
      <c r="H8" s="184">
        <v>0</v>
      </c>
      <c r="I8" s="217">
        <f t="shared" ref="I8:I37" si="4">O8/16382.36</f>
        <v>6.4999999999999997E-3</v>
      </c>
      <c r="J8" s="184">
        <v>125</v>
      </c>
      <c r="K8" s="184">
        <v>1</v>
      </c>
      <c r="L8" s="218">
        <v>1</v>
      </c>
      <c r="M8" s="218">
        <v>0.85</v>
      </c>
      <c r="N8" s="83" t="s">
        <v>82</v>
      </c>
      <c r="O8" s="192">
        <f t="shared" ref="O8:O18" si="5">J8*K8*L8*M8</f>
        <v>106.25</v>
      </c>
      <c r="P8" s="214">
        <v>0.65</v>
      </c>
    </row>
    <row r="9" spans="1:30" s="4" customFormat="1" ht="15.6">
      <c r="A9" s="184">
        <v>3</v>
      </c>
      <c r="B9" s="185" t="s">
        <v>89</v>
      </c>
      <c r="C9" s="187">
        <f t="shared" si="0"/>
        <v>37080</v>
      </c>
      <c r="D9" s="187">
        <f t="shared" si="1"/>
        <v>33580</v>
      </c>
      <c r="E9" s="187">
        <f t="shared" si="2"/>
        <v>44702</v>
      </c>
      <c r="F9" s="187">
        <f t="shared" si="3"/>
        <v>41202</v>
      </c>
      <c r="G9" s="190">
        <v>12199</v>
      </c>
      <c r="H9" s="184">
        <v>3500</v>
      </c>
      <c r="I9" s="217">
        <f t="shared" si="4"/>
        <v>0.109</v>
      </c>
      <c r="J9" s="184">
        <v>2000</v>
      </c>
      <c r="K9" s="184">
        <v>1</v>
      </c>
      <c r="L9" s="184">
        <v>1.05</v>
      </c>
      <c r="M9" s="218">
        <v>0.85</v>
      </c>
      <c r="N9" s="159" t="s">
        <v>82</v>
      </c>
      <c r="O9" s="192">
        <f t="shared" si="5"/>
        <v>1785</v>
      </c>
      <c r="P9" s="219">
        <v>0.65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1" customFormat="1" ht="16.8">
      <c r="A10" s="184">
        <v>4</v>
      </c>
      <c r="B10" s="185" t="s">
        <v>90</v>
      </c>
      <c r="C10" s="187">
        <f t="shared" si="0"/>
        <v>1602</v>
      </c>
      <c r="D10" s="187">
        <f t="shared" si="1"/>
        <v>1602</v>
      </c>
      <c r="E10" s="187">
        <f t="shared" si="2"/>
        <v>1966</v>
      </c>
      <c r="F10" s="187">
        <f t="shared" si="3"/>
        <v>1966</v>
      </c>
      <c r="G10" s="189" t="s">
        <v>50</v>
      </c>
      <c r="H10" s="184">
        <v>0</v>
      </c>
      <c r="I10" s="217">
        <f t="shared" si="4"/>
        <v>5.1999999999999998E-3</v>
      </c>
      <c r="J10" s="184">
        <v>100</v>
      </c>
      <c r="K10" s="184">
        <v>1</v>
      </c>
      <c r="L10" s="218">
        <v>1</v>
      </c>
      <c r="M10" s="218">
        <v>0.85</v>
      </c>
      <c r="N10" s="83" t="s">
        <v>82</v>
      </c>
      <c r="O10" s="192">
        <f t="shared" si="5"/>
        <v>85</v>
      </c>
      <c r="P10" s="214">
        <v>0.65</v>
      </c>
    </row>
    <row r="11" spans="1:30" s="1" customFormat="1" ht="15.6">
      <c r="A11" s="184">
        <v>5</v>
      </c>
      <c r="B11" s="185" t="s">
        <v>91</v>
      </c>
      <c r="C11" s="187">
        <f t="shared" si="0"/>
        <v>15650</v>
      </c>
      <c r="D11" s="187">
        <f t="shared" si="1"/>
        <v>15650</v>
      </c>
      <c r="E11" s="187">
        <f t="shared" si="2"/>
        <v>19202</v>
      </c>
      <c r="F11" s="187">
        <f t="shared" si="3"/>
        <v>19202</v>
      </c>
      <c r="G11" s="190">
        <v>7481</v>
      </c>
      <c r="H11" s="184">
        <v>0</v>
      </c>
      <c r="I11" s="217">
        <f t="shared" si="4"/>
        <v>5.0799999999999998E-2</v>
      </c>
      <c r="J11" s="184">
        <v>950</v>
      </c>
      <c r="K11" s="184">
        <v>1</v>
      </c>
      <c r="L11" s="184">
        <v>1.03</v>
      </c>
      <c r="M11" s="218">
        <v>0.85</v>
      </c>
      <c r="N11" s="83" t="s">
        <v>83</v>
      </c>
      <c r="O11" s="192">
        <f t="shared" si="5"/>
        <v>831.72500000000002</v>
      </c>
      <c r="P11" s="214">
        <v>0.5</v>
      </c>
    </row>
    <row r="12" spans="1:30" s="4" customFormat="1" ht="15.6">
      <c r="A12" s="184">
        <v>6</v>
      </c>
      <c r="B12" s="191" t="s">
        <v>56</v>
      </c>
      <c r="C12" s="190">
        <v>36490</v>
      </c>
      <c r="D12" s="187">
        <f t="shared" si="1"/>
        <v>13031</v>
      </c>
      <c r="E12" s="187">
        <f t="shared" si="2"/>
        <v>19489</v>
      </c>
      <c r="F12" s="187">
        <f t="shared" si="3"/>
        <v>15989</v>
      </c>
      <c r="G12" s="190">
        <v>36490</v>
      </c>
      <c r="H12" s="184">
        <v>3500</v>
      </c>
      <c r="I12" s="217">
        <f t="shared" si="4"/>
        <v>4.2299999999999997E-2</v>
      </c>
      <c r="J12" s="184">
        <v>800</v>
      </c>
      <c r="K12" s="184">
        <v>1</v>
      </c>
      <c r="L12" s="184">
        <v>1.02</v>
      </c>
      <c r="M12" s="218">
        <v>0.85</v>
      </c>
      <c r="N12" s="159" t="s">
        <v>83</v>
      </c>
      <c r="O12" s="192">
        <f t="shared" si="5"/>
        <v>693.6</v>
      </c>
      <c r="P12" s="219">
        <v>0.5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" customFormat="1" ht="16.8">
      <c r="A13" s="184">
        <v>13</v>
      </c>
      <c r="B13" s="185" t="s">
        <v>92</v>
      </c>
      <c r="C13" s="187">
        <f>D13+H13</f>
        <v>47381</v>
      </c>
      <c r="D13" s="187">
        <f t="shared" si="1"/>
        <v>47381</v>
      </c>
      <c r="E13" s="187">
        <f t="shared" si="2"/>
        <v>58136</v>
      </c>
      <c r="F13" s="187">
        <f t="shared" si="3"/>
        <v>58136</v>
      </c>
      <c r="G13" s="189" t="s">
        <v>50</v>
      </c>
      <c r="I13" s="217">
        <f t="shared" si="4"/>
        <v>0.15379999999999999</v>
      </c>
      <c r="J13" s="184">
        <v>2600</v>
      </c>
      <c r="K13" s="184">
        <v>1</v>
      </c>
      <c r="L13" s="218">
        <v>1.1399999999999999</v>
      </c>
      <c r="M13" s="218">
        <v>0.85</v>
      </c>
      <c r="N13" s="83" t="s">
        <v>82</v>
      </c>
      <c r="O13" s="192">
        <f t="shared" si="5"/>
        <v>2519.4</v>
      </c>
      <c r="P13" s="214">
        <v>0.65</v>
      </c>
    </row>
    <row r="14" spans="1:30" s="1" customFormat="1" ht="15.6">
      <c r="A14" s="184">
        <v>7</v>
      </c>
      <c r="B14" s="185" t="s">
        <v>93</v>
      </c>
      <c r="C14" s="187">
        <f t="shared" ref="C14:C18" si="6">D14+H14</f>
        <v>21091</v>
      </c>
      <c r="D14" s="187">
        <f t="shared" si="1"/>
        <v>17591</v>
      </c>
      <c r="E14" s="187">
        <f t="shared" si="2"/>
        <v>25084</v>
      </c>
      <c r="F14" s="187">
        <f t="shared" si="3"/>
        <v>21584</v>
      </c>
      <c r="G14" s="190">
        <v>11885</v>
      </c>
      <c r="H14" s="184">
        <v>3500</v>
      </c>
      <c r="I14" s="217">
        <f t="shared" si="4"/>
        <v>5.7099999999999998E-2</v>
      </c>
      <c r="J14" s="184">
        <v>1000</v>
      </c>
      <c r="K14" s="184">
        <v>1</v>
      </c>
      <c r="L14" s="218">
        <v>1.1000000000000001</v>
      </c>
      <c r="M14" s="218">
        <v>0.85</v>
      </c>
      <c r="N14" s="83" t="s">
        <v>83</v>
      </c>
      <c r="O14" s="192">
        <f t="shared" si="5"/>
        <v>935</v>
      </c>
      <c r="P14" s="214">
        <v>0.5</v>
      </c>
    </row>
    <row r="15" spans="1:30" s="4" customFormat="1" ht="15.6">
      <c r="A15" s="184">
        <v>8</v>
      </c>
      <c r="B15" s="185" t="s">
        <v>94</v>
      </c>
      <c r="C15" s="187">
        <f t="shared" si="6"/>
        <v>57547</v>
      </c>
      <c r="D15" s="187">
        <f t="shared" si="1"/>
        <v>57547</v>
      </c>
      <c r="E15" s="187">
        <f t="shared" si="2"/>
        <v>70610</v>
      </c>
      <c r="F15" s="187">
        <f t="shared" si="3"/>
        <v>70610</v>
      </c>
      <c r="G15" s="190">
        <v>21397</v>
      </c>
      <c r="H15" s="192">
        <v>0</v>
      </c>
      <c r="I15" s="217">
        <f t="shared" si="4"/>
        <v>0.18679999999999999</v>
      </c>
      <c r="J15" s="184">
        <v>3000</v>
      </c>
      <c r="K15" s="184">
        <v>1</v>
      </c>
      <c r="L15" s="218">
        <v>1.2</v>
      </c>
      <c r="M15" s="218">
        <v>0.85</v>
      </c>
      <c r="N15" s="159" t="s">
        <v>83</v>
      </c>
      <c r="O15" s="192">
        <f t="shared" si="5"/>
        <v>3060</v>
      </c>
      <c r="P15" s="219">
        <v>0.5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4" customFormat="1" ht="16.8">
      <c r="A16" s="184">
        <v>9</v>
      </c>
      <c r="B16" s="185" t="s">
        <v>95</v>
      </c>
      <c r="C16" s="187">
        <f t="shared" si="6"/>
        <v>13481</v>
      </c>
      <c r="D16" s="187">
        <f t="shared" si="1"/>
        <v>9981</v>
      </c>
      <c r="E16" s="187">
        <f t="shared" si="2"/>
        <v>15747</v>
      </c>
      <c r="F16" s="187">
        <f t="shared" si="3"/>
        <v>12247</v>
      </c>
      <c r="G16" s="189" t="s">
        <v>50</v>
      </c>
      <c r="H16" s="184">
        <v>3500</v>
      </c>
      <c r="I16" s="217">
        <f t="shared" si="4"/>
        <v>3.2399999999999998E-2</v>
      </c>
      <c r="J16" s="184">
        <v>600</v>
      </c>
      <c r="K16" s="184">
        <v>1</v>
      </c>
      <c r="L16" s="218">
        <v>1.04</v>
      </c>
      <c r="M16" s="218">
        <v>0.85</v>
      </c>
      <c r="N16" s="159" t="s">
        <v>82</v>
      </c>
      <c r="O16" s="192">
        <f t="shared" si="5"/>
        <v>530.4</v>
      </c>
      <c r="P16" s="219">
        <v>0.65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1" customFormat="1" ht="16.8">
      <c r="A17" s="184">
        <v>10</v>
      </c>
      <c r="B17" s="185" t="s">
        <v>96</v>
      </c>
      <c r="C17" s="187">
        <f t="shared" si="6"/>
        <v>16531</v>
      </c>
      <c r="D17" s="187">
        <f t="shared" si="1"/>
        <v>13031</v>
      </c>
      <c r="E17" s="187">
        <f t="shared" si="2"/>
        <v>19489</v>
      </c>
      <c r="F17" s="187">
        <f t="shared" si="3"/>
        <v>15989</v>
      </c>
      <c r="G17" s="189" t="s">
        <v>50</v>
      </c>
      <c r="H17" s="184">
        <v>3500</v>
      </c>
      <c r="I17" s="217">
        <f t="shared" si="4"/>
        <v>4.2299999999999997E-2</v>
      </c>
      <c r="J17" s="184">
        <v>800</v>
      </c>
      <c r="K17" s="184">
        <v>1</v>
      </c>
      <c r="L17" s="218">
        <v>1.02</v>
      </c>
      <c r="M17" s="218">
        <v>0.85</v>
      </c>
      <c r="N17" s="83" t="s">
        <v>82</v>
      </c>
      <c r="O17" s="192">
        <f t="shared" si="5"/>
        <v>693.6</v>
      </c>
      <c r="P17" s="214">
        <v>0.65</v>
      </c>
    </row>
    <row r="18" spans="1:30" s="4" customFormat="1" ht="15.6">
      <c r="A18" s="184">
        <v>11</v>
      </c>
      <c r="B18" s="185" t="s">
        <v>97</v>
      </c>
      <c r="C18" s="187">
        <f t="shared" si="6"/>
        <v>4978</v>
      </c>
      <c r="D18" s="187">
        <f t="shared" si="1"/>
        <v>1478</v>
      </c>
      <c r="E18" s="187">
        <f t="shared" si="2"/>
        <v>5314</v>
      </c>
      <c r="F18" s="187">
        <f t="shared" si="3"/>
        <v>1814</v>
      </c>
      <c r="G18" s="190">
        <v>25</v>
      </c>
      <c r="H18" s="184">
        <v>3500</v>
      </c>
      <c r="I18" s="217">
        <f t="shared" si="4"/>
        <v>4.7999999999999996E-3</v>
      </c>
      <c r="J18" s="184">
        <v>90</v>
      </c>
      <c r="K18" s="184">
        <v>1</v>
      </c>
      <c r="L18" s="218">
        <v>1.03</v>
      </c>
      <c r="M18" s="218">
        <v>0.85</v>
      </c>
      <c r="N18" s="159" t="s">
        <v>82</v>
      </c>
      <c r="O18" s="192">
        <f t="shared" si="5"/>
        <v>78.795000000000002</v>
      </c>
      <c r="P18" s="219">
        <v>0.65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162" customFormat="1" ht="15.6">
      <c r="A19" s="193"/>
      <c r="B19" s="194" t="s">
        <v>62</v>
      </c>
      <c r="C19" s="195">
        <f>SUM(C7:C18)</f>
        <v>256082</v>
      </c>
      <c r="D19" s="195"/>
      <c r="E19" s="195"/>
      <c r="F19" s="195"/>
      <c r="G19" s="196"/>
      <c r="H19" s="193"/>
      <c r="I19" s="217">
        <f t="shared" si="4"/>
        <v>0</v>
      </c>
      <c r="J19" s="193"/>
      <c r="K19" s="193"/>
      <c r="L19" s="220"/>
      <c r="M19" s="220"/>
      <c r="N19" s="221"/>
      <c r="O19" s="222"/>
      <c r="P19" s="223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</row>
    <row r="20" spans="1:30" s="4" customFormat="1" ht="15.6">
      <c r="A20" s="184">
        <v>12</v>
      </c>
      <c r="B20" s="185" t="s">
        <v>98</v>
      </c>
      <c r="C20" s="187">
        <f t="shared" ref="C20:C22" si="7">D20+H20</f>
        <v>9261</v>
      </c>
      <c r="D20" s="187">
        <f>F20*(1-0.185)</f>
        <v>5761</v>
      </c>
      <c r="E20" s="187">
        <f t="shared" ref="E20:E37" si="8">SUM(F20+H20)</f>
        <v>10569</v>
      </c>
      <c r="F20" s="187">
        <f>(42-4.2)*10000*I20</f>
        <v>7069</v>
      </c>
      <c r="G20" s="190">
        <v>5890</v>
      </c>
      <c r="H20" s="184">
        <v>3500</v>
      </c>
      <c r="I20" s="217">
        <f t="shared" si="4"/>
        <v>1.8700000000000001E-2</v>
      </c>
      <c r="J20" s="184">
        <v>600</v>
      </c>
      <c r="K20" s="184">
        <v>1</v>
      </c>
      <c r="L20" s="218">
        <v>1.02</v>
      </c>
      <c r="M20" s="218">
        <v>0.5</v>
      </c>
      <c r="N20" s="159" t="s">
        <v>83</v>
      </c>
      <c r="O20" s="224">
        <f t="shared" ref="O20:O27" si="9">J20*K20*L20*M20</f>
        <v>306</v>
      </c>
      <c r="P20" s="219">
        <v>0.65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15.6">
      <c r="A21" s="184">
        <v>14</v>
      </c>
      <c r="B21" s="185" t="s">
        <v>99</v>
      </c>
      <c r="C21" s="187">
        <f t="shared" si="7"/>
        <v>20043</v>
      </c>
      <c r="D21" s="187">
        <f t="shared" ref="D21:D27" si="10">F21*(1-0.188)</f>
        <v>20043</v>
      </c>
      <c r="E21" s="187">
        <f t="shared" si="8"/>
        <v>24683</v>
      </c>
      <c r="F21" s="187">
        <f t="shared" ref="F21:F37" si="11">(42-4.2)*10000*I21</f>
        <v>24683</v>
      </c>
      <c r="G21" s="190">
        <v>7167</v>
      </c>
      <c r="H21" s="184">
        <v>0</v>
      </c>
      <c r="I21" s="217">
        <f t="shared" si="4"/>
        <v>6.5299999999999997E-2</v>
      </c>
      <c r="J21" s="184">
        <v>2000</v>
      </c>
      <c r="K21" s="184">
        <v>1</v>
      </c>
      <c r="L21" s="218">
        <v>1.07</v>
      </c>
      <c r="M21" s="218">
        <v>0.5</v>
      </c>
      <c r="N21" s="83" t="s">
        <v>83</v>
      </c>
      <c r="O21" s="224">
        <f t="shared" si="9"/>
        <v>1070</v>
      </c>
      <c r="P21" s="214">
        <v>0.5</v>
      </c>
    </row>
    <row r="22" spans="1:30" s="64" customFormat="1" ht="15.6">
      <c r="A22" s="184">
        <v>15</v>
      </c>
      <c r="B22" s="185" t="s">
        <v>100</v>
      </c>
      <c r="C22" s="187">
        <f t="shared" si="7"/>
        <v>5617</v>
      </c>
      <c r="D22" s="187">
        <f t="shared" si="10"/>
        <v>5617</v>
      </c>
      <c r="E22" s="187">
        <f t="shared" si="8"/>
        <v>6917</v>
      </c>
      <c r="F22" s="187">
        <f t="shared" si="11"/>
        <v>6917</v>
      </c>
      <c r="G22" s="190">
        <v>985</v>
      </c>
      <c r="H22" s="184">
        <v>0</v>
      </c>
      <c r="I22" s="217">
        <f t="shared" si="4"/>
        <v>1.83E-2</v>
      </c>
      <c r="J22" s="184">
        <v>600</v>
      </c>
      <c r="K22" s="184">
        <v>1</v>
      </c>
      <c r="L22" s="218">
        <v>1</v>
      </c>
      <c r="M22" s="218">
        <v>0.5</v>
      </c>
      <c r="N22" s="83" t="s">
        <v>84</v>
      </c>
      <c r="O22" s="224">
        <f t="shared" si="9"/>
        <v>300</v>
      </c>
      <c r="P22" s="214">
        <v>0.5</v>
      </c>
    </row>
    <row r="23" spans="1:30" s="4" customFormat="1" ht="15.6">
      <c r="A23" s="184">
        <v>16</v>
      </c>
      <c r="B23" s="191" t="s">
        <v>101</v>
      </c>
      <c r="C23" s="190">
        <v>9750</v>
      </c>
      <c r="D23" s="187">
        <f t="shared" si="10"/>
        <v>3868</v>
      </c>
      <c r="E23" s="187">
        <f t="shared" si="8"/>
        <v>8263</v>
      </c>
      <c r="F23" s="187">
        <f t="shared" si="11"/>
        <v>4763</v>
      </c>
      <c r="G23" s="190">
        <v>9750</v>
      </c>
      <c r="H23" s="184">
        <v>3500</v>
      </c>
      <c r="I23" s="217">
        <f t="shared" si="4"/>
        <v>1.26E-2</v>
      </c>
      <c r="J23" s="184">
        <v>400</v>
      </c>
      <c r="K23" s="184">
        <v>1</v>
      </c>
      <c r="L23" s="184">
        <v>1.03</v>
      </c>
      <c r="M23" s="218">
        <v>0.5</v>
      </c>
      <c r="N23" s="159" t="s">
        <v>84</v>
      </c>
      <c r="O23" s="224">
        <f t="shared" si="9"/>
        <v>206</v>
      </c>
      <c r="P23" s="219">
        <v>0.5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4" customFormat="1" ht="15.6">
      <c r="A24" s="184">
        <v>17</v>
      </c>
      <c r="B24" s="185" t="s">
        <v>102</v>
      </c>
      <c r="C24" s="187">
        <f>D24+H24</f>
        <v>21211</v>
      </c>
      <c r="D24" s="187">
        <f t="shared" si="10"/>
        <v>17711</v>
      </c>
      <c r="E24" s="187">
        <f t="shared" si="8"/>
        <v>25311</v>
      </c>
      <c r="F24" s="187">
        <f t="shared" si="11"/>
        <v>21811</v>
      </c>
      <c r="G24" s="190">
        <v>50</v>
      </c>
      <c r="H24" s="184">
        <v>3500</v>
      </c>
      <c r="I24" s="217">
        <f t="shared" si="4"/>
        <v>5.7700000000000001E-2</v>
      </c>
      <c r="J24" s="184">
        <v>1800</v>
      </c>
      <c r="K24" s="184">
        <v>1</v>
      </c>
      <c r="L24" s="184">
        <v>1.05</v>
      </c>
      <c r="M24" s="218">
        <v>0.5</v>
      </c>
      <c r="N24" s="159" t="s">
        <v>84</v>
      </c>
      <c r="O24" s="224">
        <f t="shared" si="9"/>
        <v>945</v>
      </c>
      <c r="P24" s="219">
        <v>0.5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1" customFormat="1" ht="15.6">
      <c r="A25" s="184">
        <v>18</v>
      </c>
      <c r="B25" s="191" t="s">
        <v>103</v>
      </c>
      <c r="C25" s="190">
        <v>13234</v>
      </c>
      <c r="D25" s="187">
        <f t="shared" si="10"/>
        <v>5893</v>
      </c>
      <c r="E25" s="187">
        <f t="shared" si="8"/>
        <v>7258</v>
      </c>
      <c r="F25" s="187">
        <f t="shared" si="11"/>
        <v>7258</v>
      </c>
      <c r="G25" s="190">
        <v>13234</v>
      </c>
      <c r="H25" s="184">
        <v>0</v>
      </c>
      <c r="I25" s="217">
        <f t="shared" si="4"/>
        <v>1.9199999999999998E-2</v>
      </c>
      <c r="J25" s="184">
        <v>600</v>
      </c>
      <c r="K25" s="184">
        <v>1</v>
      </c>
      <c r="L25" s="184">
        <v>1.05</v>
      </c>
      <c r="M25" s="218">
        <v>0.5</v>
      </c>
      <c r="N25" s="83" t="s">
        <v>84</v>
      </c>
      <c r="O25" s="224">
        <f t="shared" si="9"/>
        <v>315</v>
      </c>
      <c r="P25" s="214">
        <v>0.5</v>
      </c>
    </row>
    <row r="26" spans="1:30" s="1" customFormat="1" ht="15.6">
      <c r="A26" s="184">
        <v>19</v>
      </c>
      <c r="B26" s="191" t="s">
        <v>104</v>
      </c>
      <c r="C26" s="190">
        <v>27782</v>
      </c>
      <c r="D26" s="187">
        <f t="shared" si="10"/>
        <v>6814</v>
      </c>
      <c r="E26" s="187">
        <f t="shared" si="8"/>
        <v>8392</v>
      </c>
      <c r="F26" s="187">
        <f t="shared" si="11"/>
        <v>8392</v>
      </c>
      <c r="G26" s="190">
        <v>27782</v>
      </c>
      <c r="H26" s="184">
        <v>0</v>
      </c>
      <c r="I26" s="217">
        <f t="shared" si="4"/>
        <v>2.2200000000000001E-2</v>
      </c>
      <c r="J26" s="184">
        <v>700</v>
      </c>
      <c r="K26" s="184">
        <v>1</v>
      </c>
      <c r="L26" s="184">
        <v>1.04</v>
      </c>
      <c r="M26" s="218">
        <v>0.5</v>
      </c>
      <c r="N26" s="225"/>
      <c r="O26" s="224">
        <f t="shared" si="9"/>
        <v>364</v>
      </c>
      <c r="P26" s="214">
        <v>0.5</v>
      </c>
    </row>
    <row r="27" spans="1:30" s="4" customFormat="1" ht="25.5" customHeight="1">
      <c r="A27" s="184">
        <v>20</v>
      </c>
      <c r="B27" s="191" t="s">
        <v>105</v>
      </c>
      <c r="C27" s="190">
        <v>14700</v>
      </c>
      <c r="D27" s="187">
        <f t="shared" si="10"/>
        <v>8686</v>
      </c>
      <c r="E27" s="187">
        <f t="shared" si="8"/>
        <v>14197</v>
      </c>
      <c r="F27" s="187">
        <f t="shared" si="11"/>
        <v>10697</v>
      </c>
      <c r="G27" s="190">
        <v>14700</v>
      </c>
      <c r="H27" s="184">
        <v>3500</v>
      </c>
      <c r="I27" s="217">
        <f t="shared" si="4"/>
        <v>2.8299999999999999E-2</v>
      </c>
      <c r="J27" s="184">
        <v>900</v>
      </c>
      <c r="K27" s="184">
        <v>1</v>
      </c>
      <c r="L27" s="218">
        <v>1.03</v>
      </c>
      <c r="M27" s="218">
        <v>0.5</v>
      </c>
      <c r="N27" s="226"/>
      <c r="O27" s="224">
        <f t="shared" si="9"/>
        <v>463.5</v>
      </c>
      <c r="P27" s="219">
        <v>0.5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162" customFormat="1" ht="25.5" customHeight="1">
      <c r="A28" s="193"/>
      <c r="B28" s="197" t="s">
        <v>106</v>
      </c>
      <c r="C28" s="198">
        <f>SUM(C20:C27)</f>
        <v>121598</v>
      </c>
      <c r="D28" s="195"/>
      <c r="E28" s="187">
        <f t="shared" si="8"/>
        <v>0</v>
      </c>
      <c r="F28" s="195"/>
      <c r="G28" s="196"/>
      <c r="H28" s="193"/>
      <c r="I28" s="217">
        <f t="shared" si="4"/>
        <v>0</v>
      </c>
      <c r="J28" s="193"/>
      <c r="K28" s="193"/>
      <c r="L28" s="220"/>
      <c r="M28" s="220"/>
      <c r="N28" s="227"/>
      <c r="O28" s="222"/>
      <c r="P28" s="223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</row>
    <row r="29" spans="1:30" s="1" customFormat="1" ht="25.2" customHeight="1">
      <c r="A29" s="184">
        <v>21</v>
      </c>
      <c r="B29" s="185" t="s">
        <v>107</v>
      </c>
      <c r="C29" s="190">
        <v>2241</v>
      </c>
      <c r="D29" s="199">
        <f>F29*(1-0.187784)</f>
        <v>1689</v>
      </c>
      <c r="E29" s="187">
        <f t="shared" si="8"/>
        <v>2079</v>
      </c>
      <c r="F29" s="187">
        <f t="shared" si="11"/>
        <v>2079</v>
      </c>
      <c r="G29" s="190">
        <v>2241</v>
      </c>
      <c r="H29" s="184">
        <v>0</v>
      </c>
      <c r="I29" s="217">
        <f t="shared" si="4"/>
        <v>5.4999999999999997E-3</v>
      </c>
      <c r="J29" s="184">
        <v>360</v>
      </c>
      <c r="K29" s="184">
        <v>1</v>
      </c>
      <c r="L29" s="218">
        <v>1</v>
      </c>
      <c r="M29" s="218">
        <v>0.25</v>
      </c>
      <c r="N29" s="83" t="s">
        <v>85</v>
      </c>
      <c r="O29" s="192">
        <f t="shared" ref="O29:O37" si="12">J29*K29*L29*M29</f>
        <v>90</v>
      </c>
      <c r="P29" s="214">
        <v>0.5</v>
      </c>
    </row>
    <row r="30" spans="1:30" s="4" customFormat="1" ht="16.8">
      <c r="A30" s="184">
        <v>22</v>
      </c>
      <c r="B30" s="185" t="s">
        <v>108</v>
      </c>
      <c r="C30" s="188">
        <f t="shared" ref="C30:C32" si="13">D30+H30</f>
        <v>5925</v>
      </c>
      <c r="D30" s="187">
        <f t="shared" ref="D30:D37" si="14">F30*(1-0.187784)</f>
        <v>2425</v>
      </c>
      <c r="E30" s="187">
        <f t="shared" si="8"/>
        <v>6486</v>
      </c>
      <c r="F30" s="187">
        <f t="shared" si="11"/>
        <v>2986</v>
      </c>
      <c r="G30" s="189" t="s">
        <v>50</v>
      </c>
      <c r="H30" s="184">
        <v>3500</v>
      </c>
      <c r="I30" s="217">
        <f t="shared" si="4"/>
        <v>7.9000000000000008E-3</v>
      </c>
      <c r="J30" s="184">
        <v>500</v>
      </c>
      <c r="K30" s="184">
        <v>1</v>
      </c>
      <c r="L30" s="218">
        <v>1.04</v>
      </c>
      <c r="M30" s="218">
        <v>0.25</v>
      </c>
      <c r="N30" s="159" t="s">
        <v>85</v>
      </c>
      <c r="O30" s="192">
        <f t="shared" si="12"/>
        <v>130</v>
      </c>
      <c r="P30" s="219">
        <v>0.25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1" customFormat="1" ht="16.8">
      <c r="A31" s="184">
        <v>23</v>
      </c>
      <c r="B31" s="185" t="s">
        <v>109</v>
      </c>
      <c r="C31" s="188">
        <f t="shared" si="13"/>
        <v>4452</v>
      </c>
      <c r="D31" s="187">
        <f t="shared" si="14"/>
        <v>952</v>
      </c>
      <c r="E31" s="187">
        <f t="shared" si="8"/>
        <v>4672</v>
      </c>
      <c r="F31" s="187">
        <f t="shared" si="11"/>
        <v>1172</v>
      </c>
      <c r="G31" s="189" t="s">
        <v>50</v>
      </c>
      <c r="H31" s="184">
        <v>3500</v>
      </c>
      <c r="I31" s="217">
        <f t="shared" si="4"/>
        <v>3.0999999999999999E-3</v>
      </c>
      <c r="J31" s="184">
        <v>200</v>
      </c>
      <c r="K31" s="184">
        <v>1</v>
      </c>
      <c r="L31" s="218">
        <v>1.01</v>
      </c>
      <c r="M31" s="218">
        <v>0.25</v>
      </c>
      <c r="N31" s="83" t="s">
        <v>84</v>
      </c>
      <c r="O31" s="192">
        <f t="shared" si="12"/>
        <v>50.5</v>
      </c>
      <c r="P31" s="214">
        <v>0.25</v>
      </c>
    </row>
    <row r="32" spans="1:30" s="1" customFormat="1" ht="15.6">
      <c r="A32" s="184">
        <v>24</v>
      </c>
      <c r="B32" s="185" t="s">
        <v>110</v>
      </c>
      <c r="C32" s="188">
        <f t="shared" si="13"/>
        <v>1412</v>
      </c>
      <c r="D32" s="187">
        <f t="shared" si="14"/>
        <v>1412</v>
      </c>
      <c r="E32" s="187">
        <f t="shared" si="8"/>
        <v>1739</v>
      </c>
      <c r="F32" s="187">
        <f t="shared" si="11"/>
        <v>1739</v>
      </c>
      <c r="G32" s="190">
        <v>1244</v>
      </c>
      <c r="H32" s="184">
        <v>0</v>
      </c>
      <c r="I32" s="217">
        <f t="shared" si="4"/>
        <v>4.5999999999999999E-3</v>
      </c>
      <c r="J32" s="184">
        <v>300</v>
      </c>
      <c r="K32" s="184">
        <v>1</v>
      </c>
      <c r="L32" s="218">
        <v>1</v>
      </c>
      <c r="M32" s="218">
        <v>0.25</v>
      </c>
      <c r="N32" s="83" t="s">
        <v>84</v>
      </c>
      <c r="O32" s="192">
        <f t="shared" si="12"/>
        <v>75</v>
      </c>
      <c r="P32" s="214">
        <v>0.25</v>
      </c>
    </row>
    <row r="33" spans="1:16" s="1" customFormat="1" ht="15.6">
      <c r="A33" s="184">
        <v>25</v>
      </c>
      <c r="B33" s="185" t="s">
        <v>111</v>
      </c>
      <c r="C33" s="190">
        <v>6898</v>
      </c>
      <c r="D33" s="187">
        <f t="shared" si="14"/>
        <v>3101</v>
      </c>
      <c r="E33" s="187">
        <f t="shared" si="8"/>
        <v>3818</v>
      </c>
      <c r="F33" s="187">
        <f t="shared" si="11"/>
        <v>3818</v>
      </c>
      <c r="G33" s="190">
        <v>6898</v>
      </c>
      <c r="H33" s="184">
        <v>0</v>
      </c>
      <c r="I33" s="217">
        <f t="shared" si="4"/>
        <v>1.01E-2</v>
      </c>
      <c r="J33" s="184">
        <v>1125</v>
      </c>
      <c r="K33" s="184">
        <v>0.58799999999999997</v>
      </c>
      <c r="L33" s="218">
        <v>1</v>
      </c>
      <c r="M33" s="218">
        <v>0.25</v>
      </c>
      <c r="N33" s="83" t="s">
        <v>84</v>
      </c>
      <c r="O33" s="192">
        <f t="shared" si="12"/>
        <v>165.375</v>
      </c>
      <c r="P33" s="214">
        <v>0.5</v>
      </c>
    </row>
    <row r="34" spans="1:16" s="64" customFormat="1" ht="15.6">
      <c r="A34" s="184">
        <v>26</v>
      </c>
      <c r="B34" s="185" t="s">
        <v>112</v>
      </c>
      <c r="C34" s="190">
        <v>4930</v>
      </c>
      <c r="D34" s="187">
        <f t="shared" si="14"/>
        <v>2364</v>
      </c>
      <c r="E34" s="187">
        <f t="shared" si="8"/>
        <v>2911</v>
      </c>
      <c r="F34" s="187">
        <f t="shared" si="11"/>
        <v>2911</v>
      </c>
      <c r="G34" s="190">
        <v>4930</v>
      </c>
      <c r="H34" s="184">
        <v>0</v>
      </c>
      <c r="I34" s="217">
        <f t="shared" si="4"/>
        <v>7.7000000000000002E-3</v>
      </c>
      <c r="J34" s="184">
        <v>500</v>
      </c>
      <c r="K34" s="184">
        <v>1</v>
      </c>
      <c r="L34" s="218">
        <v>1.01</v>
      </c>
      <c r="M34" s="218">
        <v>0.25</v>
      </c>
      <c r="N34" s="83" t="s">
        <v>84</v>
      </c>
      <c r="O34" s="192">
        <f t="shared" si="12"/>
        <v>126.25</v>
      </c>
      <c r="P34" s="214">
        <v>0.5</v>
      </c>
    </row>
    <row r="35" spans="1:16" s="1" customFormat="1" ht="15.6">
      <c r="A35" s="184">
        <v>27</v>
      </c>
      <c r="B35" s="185" t="s">
        <v>113</v>
      </c>
      <c r="C35" s="200">
        <v>10000</v>
      </c>
      <c r="D35" s="187">
        <f t="shared" si="14"/>
        <v>2364</v>
      </c>
      <c r="E35" s="187">
        <f t="shared" si="8"/>
        <v>2911</v>
      </c>
      <c r="F35" s="187">
        <f t="shared" si="11"/>
        <v>2911</v>
      </c>
      <c r="G35" s="200">
        <v>10000</v>
      </c>
      <c r="H35" s="184">
        <v>0</v>
      </c>
      <c r="I35" s="217">
        <f t="shared" si="4"/>
        <v>7.7000000000000002E-3</v>
      </c>
      <c r="J35" s="184">
        <v>500</v>
      </c>
      <c r="K35" s="184">
        <v>1</v>
      </c>
      <c r="L35" s="218">
        <v>1.01</v>
      </c>
      <c r="M35" s="218">
        <v>0.25</v>
      </c>
      <c r="N35" s="83" t="s">
        <v>84</v>
      </c>
      <c r="O35" s="192">
        <f t="shared" si="12"/>
        <v>126.25</v>
      </c>
      <c r="P35" s="214">
        <v>0.5</v>
      </c>
    </row>
    <row r="36" spans="1:16" s="1" customFormat="1" ht="15.6">
      <c r="A36" s="184">
        <v>28</v>
      </c>
      <c r="B36" s="185" t="s">
        <v>114</v>
      </c>
      <c r="C36" s="190">
        <v>7068</v>
      </c>
      <c r="D36" s="187">
        <f t="shared" si="14"/>
        <v>3315</v>
      </c>
      <c r="E36" s="187">
        <f t="shared" si="8"/>
        <v>4082</v>
      </c>
      <c r="F36" s="187">
        <f t="shared" si="11"/>
        <v>4082</v>
      </c>
      <c r="G36" s="190">
        <v>7068</v>
      </c>
      <c r="H36" s="184">
        <v>0</v>
      </c>
      <c r="I36" s="217">
        <f t="shared" si="4"/>
        <v>1.0800000000000001E-2</v>
      </c>
      <c r="J36" s="184">
        <v>900</v>
      </c>
      <c r="K36" s="184">
        <v>0.77</v>
      </c>
      <c r="L36" s="218">
        <v>1.02</v>
      </c>
      <c r="M36" s="218">
        <v>0.25</v>
      </c>
      <c r="N36" s="83" t="s">
        <v>84</v>
      </c>
      <c r="O36" s="192">
        <f t="shared" si="12"/>
        <v>176.715</v>
      </c>
      <c r="P36" s="214">
        <v>0.5</v>
      </c>
    </row>
    <row r="37" spans="1:16" s="1" customFormat="1" ht="16.8">
      <c r="A37" s="184">
        <v>29</v>
      </c>
      <c r="B37" s="201" t="s">
        <v>79</v>
      </c>
      <c r="C37" s="187">
        <f>D37+H37</f>
        <v>645</v>
      </c>
      <c r="D37" s="187">
        <f t="shared" si="14"/>
        <v>645</v>
      </c>
      <c r="E37" s="187">
        <f t="shared" si="8"/>
        <v>794</v>
      </c>
      <c r="F37" s="187">
        <f t="shared" si="11"/>
        <v>794</v>
      </c>
      <c r="G37" s="189" t="s">
        <v>50</v>
      </c>
      <c r="H37" s="184">
        <v>0</v>
      </c>
      <c r="I37" s="217">
        <f t="shared" si="4"/>
        <v>2.0999999999999999E-3</v>
      </c>
      <c r="J37" s="184">
        <v>140</v>
      </c>
      <c r="K37" s="184">
        <v>1</v>
      </c>
      <c r="L37" s="218">
        <v>1</v>
      </c>
      <c r="M37" s="218">
        <v>0.25</v>
      </c>
      <c r="N37" s="83" t="s">
        <v>84</v>
      </c>
      <c r="O37" s="192">
        <f t="shared" si="12"/>
        <v>35</v>
      </c>
      <c r="P37" s="214">
        <v>0.5</v>
      </c>
    </row>
    <row r="38" spans="1:16" s="163" customFormat="1" ht="31.2">
      <c r="A38" s="202"/>
      <c r="B38" s="197" t="s">
        <v>115</v>
      </c>
      <c r="C38" s="195">
        <f>SUM(C29:C37)</f>
        <v>43571</v>
      </c>
      <c r="D38" s="195"/>
      <c r="E38" s="193"/>
      <c r="F38" s="195"/>
      <c r="G38" s="203"/>
      <c r="H38" s="193"/>
      <c r="I38" s="228"/>
      <c r="J38" s="193"/>
      <c r="K38" s="193"/>
      <c r="L38" s="193"/>
      <c r="M38" s="193"/>
      <c r="N38" s="229"/>
      <c r="O38" s="230"/>
      <c r="P38" s="229"/>
    </row>
    <row r="39" spans="1:16" s="64" customFormat="1" ht="15.6">
      <c r="A39" s="204"/>
      <c r="B39" s="205"/>
      <c r="D39" s="206"/>
      <c r="E39" s="207"/>
      <c r="F39" s="206"/>
      <c r="G39" s="175"/>
      <c r="H39" s="207"/>
      <c r="I39" s="231"/>
      <c r="J39" s="207"/>
      <c r="K39" s="207"/>
      <c r="L39" s="207"/>
      <c r="M39" s="207"/>
      <c r="N39" s="232"/>
      <c r="O39" s="233"/>
      <c r="P39" s="232"/>
    </row>
    <row r="41" spans="1:16">
      <c r="C41" s="167"/>
      <c r="P41" s="234"/>
    </row>
    <row r="42" spans="1:16">
      <c r="G42" s="208"/>
    </row>
  </sheetData>
  <mergeCells count="1">
    <mergeCell ref="A3:N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topLeftCell="A27" workbookViewId="0">
      <selection activeCell="D42" sqref="D42"/>
    </sheetView>
  </sheetViews>
  <sheetFormatPr defaultColWidth="9" defaultRowHeight="17.399999999999999"/>
  <cols>
    <col min="1" max="1" width="2.21875" customWidth="1"/>
    <col min="2" max="2" width="5.77734375" style="120" customWidth="1"/>
    <col min="3" max="4" width="13.21875" style="120" customWidth="1"/>
    <col min="5" max="5" width="12" style="142" customWidth="1"/>
    <col min="6" max="6" width="10.77734375" style="121" customWidth="1"/>
    <col min="7" max="7" width="7.21875" style="120" customWidth="1"/>
    <col min="8" max="8" width="9.77734375" style="122" customWidth="1"/>
    <col min="9" max="9" width="12.33203125" style="120" customWidth="1"/>
    <col min="10" max="10" width="6.88671875" style="120" customWidth="1"/>
    <col min="11" max="11" width="7.21875" style="120" customWidth="1"/>
    <col min="12" max="12" width="9.109375" style="120" customWidth="1"/>
    <col min="13" max="13" width="5.6640625" customWidth="1"/>
    <col min="14" max="14" width="10.21875" style="6" hidden="1" customWidth="1"/>
    <col min="15" max="15" width="9.21875" style="6" hidden="1" customWidth="1"/>
    <col min="16" max="16" width="12.21875" customWidth="1"/>
  </cols>
  <sheetData>
    <row r="1" spans="1:15">
      <c r="A1" s="544" t="s">
        <v>34</v>
      </c>
      <c r="B1" s="545"/>
      <c r="C1" s="124"/>
      <c r="D1" s="124"/>
      <c r="E1" s="145"/>
      <c r="F1" s="125"/>
      <c r="G1" s="124"/>
      <c r="H1" s="126"/>
      <c r="I1" s="124"/>
      <c r="J1" s="124"/>
      <c r="K1" s="124"/>
      <c r="L1" s="124"/>
      <c r="M1" s="136"/>
    </row>
    <row r="2" spans="1:15">
      <c r="A2" s="143"/>
      <c r="B2" s="144"/>
      <c r="C2" s="124"/>
      <c r="D2" s="124"/>
      <c r="E2" s="145"/>
      <c r="F2" s="125"/>
      <c r="G2" s="124"/>
      <c r="H2" s="126"/>
      <c r="I2" s="124"/>
      <c r="J2" s="124"/>
      <c r="K2" s="124"/>
      <c r="L2" s="124"/>
      <c r="M2" s="136"/>
    </row>
    <row r="3" spans="1:15" ht="20.399999999999999">
      <c r="B3" s="546" t="s">
        <v>35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</row>
    <row r="4" spans="1:15">
      <c r="B4" s="127"/>
      <c r="C4" s="127"/>
      <c r="D4" s="127"/>
      <c r="E4" s="146"/>
      <c r="F4" s="128"/>
      <c r="G4" s="127"/>
      <c r="H4" s="127"/>
      <c r="I4" s="127"/>
      <c r="J4" s="127"/>
      <c r="K4" s="127"/>
      <c r="L4" s="127"/>
      <c r="M4" s="137"/>
    </row>
    <row r="5" spans="1:15" s="141" customFormat="1" ht="36">
      <c r="B5" s="147" t="s">
        <v>1</v>
      </c>
      <c r="C5" s="147" t="s">
        <v>2</v>
      </c>
      <c r="D5" s="147"/>
      <c r="E5" s="148"/>
      <c r="F5" s="149" t="s">
        <v>123</v>
      </c>
      <c r="G5" s="147" t="s">
        <v>136</v>
      </c>
      <c r="H5" s="150" t="s">
        <v>42</v>
      </c>
      <c r="I5" s="147" t="s">
        <v>43</v>
      </c>
      <c r="J5" s="147" t="s">
        <v>44</v>
      </c>
      <c r="K5" s="147" t="s">
        <v>45</v>
      </c>
      <c r="L5" s="147" t="s">
        <v>4</v>
      </c>
      <c r="M5" s="147" t="s">
        <v>81</v>
      </c>
    </row>
    <row r="6" spans="1:15">
      <c r="B6" s="132"/>
      <c r="C6" s="132" t="s">
        <v>48</v>
      </c>
      <c r="D6" s="132"/>
      <c r="E6" s="151"/>
      <c r="F6" s="133">
        <f>SUM(F20+F39)</f>
        <v>378000</v>
      </c>
      <c r="G6" s="132"/>
      <c r="H6" s="134"/>
      <c r="I6" s="132">
        <v>24330</v>
      </c>
      <c r="J6" s="132"/>
      <c r="K6" s="132"/>
      <c r="L6" s="132"/>
      <c r="M6" s="132"/>
    </row>
    <row r="7" spans="1:15" ht="22.5" customHeight="1">
      <c r="B7" s="548" t="s">
        <v>137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</row>
    <row r="8" spans="1:15">
      <c r="B8" s="132">
        <v>1</v>
      </c>
      <c r="C8" s="132" t="s">
        <v>49</v>
      </c>
      <c r="D8" s="151">
        <f>E8+G8</f>
        <v>2668</v>
      </c>
      <c r="E8" s="151">
        <f>F8*(1-0.135)</f>
        <v>2668</v>
      </c>
      <c r="F8" s="133">
        <f>37.8*N8*0.6*10000</f>
        <v>3084</v>
      </c>
      <c r="G8" s="132"/>
      <c r="H8" s="135">
        <v>1.3599999999999999E-2</v>
      </c>
      <c r="I8" s="132">
        <v>140</v>
      </c>
      <c r="J8" s="132">
        <v>1</v>
      </c>
      <c r="K8" s="134">
        <v>1</v>
      </c>
      <c r="L8" s="134">
        <v>0.65</v>
      </c>
      <c r="M8" s="69" t="s">
        <v>82</v>
      </c>
      <c r="N8" s="138">
        <f>O8/6679</f>
        <v>1.3599999999999999E-2</v>
      </c>
      <c r="O8" s="139">
        <f>I8*K8*L8</f>
        <v>91</v>
      </c>
    </row>
    <row r="9" spans="1:15">
      <c r="B9" s="132">
        <v>2</v>
      </c>
      <c r="C9" s="132" t="s">
        <v>51</v>
      </c>
      <c r="D9" s="151">
        <f t="shared" ref="D9:D19" si="0">E9+G9</f>
        <v>2432</v>
      </c>
      <c r="E9" s="151">
        <f t="shared" ref="E9:E12" si="1">F9*(1-0.135)</f>
        <v>2432</v>
      </c>
      <c r="F9" s="133">
        <f>37.8*N9*0.6*10000+68</f>
        <v>2812</v>
      </c>
      <c r="G9" s="132"/>
      <c r="H9" s="135">
        <v>1.21E-2</v>
      </c>
      <c r="I9" s="132">
        <v>125</v>
      </c>
      <c r="J9" s="132">
        <v>1</v>
      </c>
      <c r="K9" s="134">
        <v>1</v>
      </c>
      <c r="L9" s="134">
        <v>0.65</v>
      </c>
      <c r="M9" s="69" t="s">
        <v>82</v>
      </c>
      <c r="N9" s="138">
        <f t="shared" ref="N9:N19" si="2">O9/6679</f>
        <v>1.21E-2</v>
      </c>
      <c r="O9" s="139">
        <f t="shared" ref="O9:O19" si="3">I9*K9*L9</f>
        <v>81</v>
      </c>
    </row>
    <row r="10" spans="1:15">
      <c r="B10" s="132">
        <v>3</v>
      </c>
      <c r="C10" s="132" t="s">
        <v>52</v>
      </c>
      <c r="D10" s="151">
        <f t="shared" si="0"/>
        <v>47100</v>
      </c>
      <c r="E10" s="151">
        <f t="shared" si="1"/>
        <v>40100</v>
      </c>
      <c r="F10" s="133">
        <f>37.8*N10*0.6*10000</f>
        <v>46358</v>
      </c>
      <c r="G10" s="132">
        <v>7000</v>
      </c>
      <c r="H10" s="135">
        <v>0.2044</v>
      </c>
      <c r="I10" s="132">
        <v>2000</v>
      </c>
      <c r="J10" s="132">
        <v>1</v>
      </c>
      <c r="K10" s="132">
        <v>1.05</v>
      </c>
      <c r="L10" s="134">
        <v>0.65</v>
      </c>
      <c r="M10" s="83" t="s">
        <v>82</v>
      </c>
      <c r="N10" s="138">
        <f t="shared" si="2"/>
        <v>0.2044</v>
      </c>
      <c r="O10" s="139">
        <f t="shared" si="3"/>
        <v>1365</v>
      </c>
    </row>
    <row r="11" spans="1:15">
      <c r="B11" s="132">
        <v>4</v>
      </c>
      <c r="C11" s="132" t="s">
        <v>53</v>
      </c>
      <c r="D11" s="151">
        <f t="shared" si="0"/>
        <v>1903</v>
      </c>
      <c r="E11" s="151">
        <f t="shared" si="1"/>
        <v>1903</v>
      </c>
      <c r="F11" s="133">
        <f t="shared" ref="F11:F19" si="4">37.8*N11*0.6*10000</f>
        <v>2200</v>
      </c>
      <c r="G11" s="132"/>
      <c r="H11" s="152">
        <v>0.01</v>
      </c>
      <c r="I11" s="132">
        <v>100</v>
      </c>
      <c r="J11" s="132">
        <v>1</v>
      </c>
      <c r="K11" s="134">
        <v>1</v>
      </c>
      <c r="L11" s="134">
        <v>0.65</v>
      </c>
      <c r="M11" s="69" t="s">
        <v>82</v>
      </c>
      <c r="N11" s="138">
        <f t="shared" si="2"/>
        <v>9.7000000000000003E-3</v>
      </c>
      <c r="O11" s="139">
        <f t="shared" si="3"/>
        <v>65</v>
      </c>
    </row>
    <row r="12" spans="1:15">
      <c r="B12" s="132">
        <v>5</v>
      </c>
      <c r="C12" s="132" t="s">
        <v>54</v>
      </c>
      <c r="D12" s="151">
        <f t="shared" si="0"/>
        <v>14361</v>
      </c>
      <c r="E12" s="151">
        <f t="shared" si="1"/>
        <v>14361</v>
      </c>
      <c r="F12" s="133">
        <f t="shared" si="4"/>
        <v>16602</v>
      </c>
      <c r="G12" s="132"/>
      <c r="H12" s="135">
        <v>7.3200000000000001E-2</v>
      </c>
      <c r="I12" s="132">
        <v>950</v>
      </c>
      <c r="J12" s="132">
        <v>1</v>
      </c>
      <c r="K12" s="132">
        <v>1.03</v>
      </c>
      <c r="L12" s="134">
        <v>0.5</v>
      </c>
      <c r="M12" s="69" t="s">
        <v>83</v>
      </c>
      <c r="N12" s="138">
        <f t="shared" si="2"/>
        <v>7.3200000000000001E-2</v>
      </c>
      <c r="O12" s="139">
        <f t="shared" si="3"/>
        <v>489</v>
      </c>
    </row>
    <row r="13" spans="1:15" s="4" customFormat="1">
      <c r="B13" s="153">
        <v>6</v>
      </c>
      <c r="C13" s="153" t="s">
        <v>138</v>
      </c>
      <c r="D13" s="151">
        <f t="shared" si="0"/>
        <v>43490</v>
      </c>
      <c r="E13" s="154">
        <v>36490</v>
      </c>
      <c r="F13" s="155">
        <f t="shared" si="4"/>
        <v>13857</v>
      </c>
      <c r="G13" s="153">
        <v>7000</v>
      </c>
      <c r="H13" s="156">
        <v>6.1100000000000002E-2</v>
      </c>
      <c r="I13" s="153">
        <v>800</v>
      </c>
      <c r="J13" s="153">
        <v>1</v>
      </c>
      <c r="K13" s="153">
        <v>1.02</v>
      </c>
      <c r="L13" s="158">
        <v>0.5</v>
      </c>
      <c r="M13" s="159" t="s">
        <v>83</v>
      </c>
      <c r="N13" s="160">
        <f t="shared" si="2"/>
        <v>6.1100000000000002E-2</v>
      </c>
      <c r="O13" s="161">
        <f t="shared" si="3"/>
        <v>408</v>
      </c>
    </row>
    <row r="14" spans="1:15">
      <c r="B14" s="132">
        <v>7</v>
      </c>
      <c r="C14" s="132" t="s">
        <v>58</v>
      </c>
      <c r="D14" s="151">
        <f t="shared" si="0"/>
        <v>16146</v>
      </c>
      <c r="E14" s="151">
        <f>F14*(1-0.135)</f>
        <v>16146</v>
      </c>
      <c r="F14" s="133">
        <f t="shared" si="4"/>
        <v>18666</v>
      </c>
      <c r="G14" s="132"/>
      <c r="H14" s="135">
        <v>8.2299999999999998E-2</v>
      </c>
      <c r="I14" s="132">
        <v>1000</v>
      </c>
      <c r="J14" s="132">
        <v>1</v>
      </c>
      <c r="K14" s="132">
        <v>1.1000000000000001</v>
      </c>
      <c r="L14" s="134">
        <v>0.5</v>
      </c>
      <c r="M14" s="69" t="s">
        <v>83</v>
      </c>
      <c r="N14" s="138">
        <f t="shared" si="2"/>
        <v>8.2299999999999998E-2</v>
      </c>
      <c r="O14" s="139">
        <f t="shared" si="3"/>
        <v>550</v>
      </c>
    </row>
    <row r="15" spans="1:15">
      <c r="B15" s="132">
        <v>8</v>
      </c>
      <c r="C15" s="132" t="s">
        <v>59</v>
      </c>
      <c r="D15" s="151">
        <f t="shared" si="0"/>
        <v>56371</v>
      </c>
      <c r="E15" s="151">
        <f t="shared" ref="E15:E17" si="5">F15*(1-0.135)</f>
        <v>52871</v>
      </c>
      <c r="F15" s="133">
        <f t="shared" si="4"/>
        <v>61123</v>
      </c>
      <c r="G15" s="132">
        <v>3500</v>
      </c>
      <c r="H15" s="135">
        <v>0.26950000000000002</v>
      </c>
      <c r="I15" s="132">
        <v>3000</v>
      </c>
      <c r="J15" s="132">
        <v>1</v>
      </c>
      <c r="K15" s="132">
        <v>1.2</v>
      </c>
      <c r="L15" s="134">
        <v>0.5</v>
      </c>
      <c r="M15" s="69" t="s">
        <v>83</v>
      </c>
      <c r="N15" s="138">
        <f t="shared" si="2"/>
        <v>0.26950000000000002</v>
      </c>
      <c r="O15" s="139">
        <f t="shared" si="3"/>
        <v>1800</v>
      </c>
    </row>
    <row r="16" spans="1:15">
      <c r="B16" s="132">
        <v>9</v>
      </c>
      <c r="C16" s="132" t="s">
        <v>70</v>
      </c>
      <c r="D16" s="151">
        <f t="shared" si="0"/>
        <v>6042</v>
      </c>
      <c r="E16" s="151">
        <f t="shared" si="5"/>
        <v>6042</v>
      </c>
      <c r="F16" s="133">
        <f t="shared" si="4"/>
        <v>6985</v>
      </c>
      <c r="G16" s="132"/>
      <c r="H16" s="135">
        <v>3.0800000000000001E-2</v>
      </c>
      <c r="I16" s="132">
        <v>400</v>
      </c>
      <c r="J16" s="132">
        <v>1</v>
      </c>
      <c r="K16" s="132">
        <v>1.03</v>
      </c>
      <c r="L16" s="134">
        <v>0.5</v>
      </c>
      <c r="M16" s="69" t="s">
        <v>84</v>
      </c>
      <c r="N16" s="138">
        <f t="shared" si="2"/>
        <v>3.0800000000000001E-2</v>
      </c>
      <c r="O16" s="139">
        <f t="shared" si="3"/>
        <v>206</v>
      </c>
    </row>
    <row r="17" spans="2:15">
      <c r="B17" s="132">
        <v>10</v>
      </c>
      <c r="C17" s="132" t="s">
        <v>71</v>
      </c>
      <c r="D17" s="151">
        <f t="shared" si="0"/>
        <v>34760</v>
      </c>
      <c r="E17" s="151">
        <f t="shared" si="5"/>
        <v>27760</v>
      </c>
      <c r="F17" s="133">
        <f t="shared" si="4"/>
        <v>32092</v>
      </c>
      <c r="G17" s="132">
        <v>7000</v>
      </c>
      <c r="H17" s="135">
        <v>0.14149999999999999</v>
      </c>
      <c r="I17" s="132">
        <v>1800</v>
      </c>
      <c r="J17" s="132">
        <v>1</v>
      </c>
      <c r="K17" s="132">
        <v>1.05</v>
      </c>
      <c r="L17" s="134">
        <v>0.5</v>
      </c>
      <c r="M17" s="69" t="s">
        <v>84</v>
      </c>
      <c r="N17" s="138">
        <f t="shared" si="2"/>
        <v>0.14149999999999999</v>
      </c>
      <c r="O17" s="139">
        <f t="shared" si="3"/>
        <v>945</v>
      </c>
    </row>
    <row r="18" spans="2:15" s="4" customFormat="1">
      <c r="B18" s="153">
        <v>11</v>
      </c>
      <c r="C18" s="153" t="s">
        <v>72</v>
      </c>
      <c r="D18" s="151">
        <f t="shared" si="0"/>
        <v>13234</v>
      </c>
      <c r="E18" s="154">
        <f>13234</f>
        <v>13234</v>
      </c>
      <c r="F18" s="155">
        <f t="shared" si="4"/>
        <v>10705</v>
      </c>
      <c r="G18" s="153"/>
      <c r="H18" s="156">
        <v>4.7199999999999999E-2</v>
      </c>
      <c r="I18" s="153">
        <v>600</v>
      </c>
      <c r="J18" s="153">
        <v>1</v>
      </c>
      <c r="K18" s="153">
        <v>1.05</v>
      </c>
      <c r="L18" s="158">
        <v>0.5</v>
      </c>
      <c r="M18" s="159" t="s">
        <v>84</v>
      </c>
      <c r="N18" s="160">
        <f t="shared" si="2"/>
        <v>4.7199999999999999E-2</v>
      </c>
      <c r="O18" s="161">
        <f t="shared" si="3"/>
        <v>315</v>
      </c>
    </row>
    <row r="19" spans="2:15" s="4" customFormat="1">
      <c r="B19" s="153">
        <v>12</v>
      </c>
      <c r="C19" s="153" t="s">
        <v>73</v>
      </c>
      <c r="D19" s="151">
        <f t="shared" si="0"/>
        <v>27782</v>
      </c>
      <c r="E19" s="154">
        <v>27782</v>
      </c>
      <c r="F19" s="155">
        <f t="shared" si="4"/>
        <v>12361</v>
      </c>
      <c r="G19" s="153"/>
      <c r="H19" s="156">
        <v>5.45E-2</v>
      </c>
      <c r="I19" s="153">
        <v>700</v>
      </c>
      <c r="J19" s="153">
        <v>1</v>
      </c>
      <c r="K19" s="153">
        <v>1.04</v>
      </c>
      <c r="L19" s="158">
        <v>0.5</v>
      </c>
      <c r="M19" s="159" t="s">
        <v>84</v>
      </c>
      <c r="N19" s="160">
        <f t="shared" si="2"/>
        <v>5.45E-2</v>
      </c>
      <c r="O19" s="161">
        <f t="shared" si="3"/>
        <v>364</v>
      </c>
    </row>
    <row r="20" spans="2:15">
      <c r="B20" s="132"/>
      <c r="C20" s="132" t="s">
        <v>139</v>
      </c>
      <c r="D20" s="151">
        <f>SUM(D8:D19)</f>
        <v>266289</v>
      </c>
      <c r="E20" s="151">
        <f>SUM(E8:E19)</f>
        <v>241789</v>
      </c>
      <c r="F20" s="133">
        <f>SUM(F8:F19)</f>
        <v>226845</v>
      </c>
      <c r="G20" s="132"/>
      <c r="H20" s="134"/>
      <c r="I20" s="132">
        <v>11515</v>
      </c>
      <c r="J20" s="132"/>
      <c r="K20" s="132"/>
      <c r="L20" s="132"/>
      <c r="M20" s="140"/>
      <c r="O20" s="139">
        <f>SUM(O8:O19)</f>
        <v>6679</v>
      </c>
    </row>
    <row r="21" spans="2:15" ht="25.5" customHeight="1">
      <c r="B21" s="548" t="s">
        <v>140</v>
      </c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50"/>
    </row>
    <row r="22" spans="2:15">
      <c r="B22" s="132">
        <v>13</v>
      </c>
      <c r="C22" s="132" t="s">
        <v>63</v>
      </c>
      <c r="D22" s="151">
        <f>E22+G22</f>
        <v>7245</v>
      </c>
      <c r="E22" s="151">
        <f>F22*(1-0.135)</f>
        <v>7245</v>
      </c>
      <c r="F22" s="133">
        <f>37.8*N22*0.4*10000</f>
        <v>8376</v>
      </c>
      <c r="G22" s="132"/>
      <c r="H22" s="135">
        <v>5.5399999999999998E-2</v>
      </c>
      <c r="I22" s="132">
        <v>600</v>
      </c>
      <c r="J22" s="132">
        <v>1</v>
      </c>
      <c r="K22" s="134">
        <v>1.02</v>
      </c>
      <c r="L22" s="134">
        <v>0.65</v>
      </c>
      <c r="M22" s="83" t="s">
        <v>83</v>
      </c>
      <c r="N22" s="138">
        <f>O22/7189</f>
        <v>5.5399999999999998E-2</v>
      </c>
      <c r="O22" s="139">
        <f>I22*K22*L22</f>
        <v>398</v>
      </c>
    </row>
    <row r="23" spans="2:15">
      <c r="B23" s="132">
        <v>14</v>
      </c>
      <c r="C23" s="132" t="s">
        <v>64</v>
      </c>
      <c r="D23" s="151">
        <f t="shared" ref="D23:D38" si="6">E23+G23</f>
        <v>3270</v>
      </c>
      <c r="E23" s="151">
        <f t="shared" ref="E23:E35" si="7">F23*(1-0.135)</f>
        <v>3270</v>
      </c>
      <c r="F23" s="133">
        <v>3780</v>
      </c>
      <c r="G23" s="132"/>
      <c r="H23" s="135">
        <v>2.5000000000000001E-2</v>
      </c>
      <c r="I23" s="132">
        <v>360</v>
      </c>
      <c r="J23" s="132">
        <v>1</v>
      </c>
      <c r="K23" s="134">
        <v>1</v>
      </c>
      <c r="L23" s="134">
        <v>0.5</v>
      </c>
      <c r="M23" s="69" t="s">
        <v>84</v>
      </c>
      <c r="N23" s="138">
        <f t="shared" ref="N23:N38" si="8">O23/7189</f>
        <v>2.5000000000000001E-2</v>
      </c>
      <c r="O23" s="139">
        <f t="shared" ref="O23:O38" si="9">I23*K23*L23</f>
        <v>180</v>
      </c>
    </row>
    <row r="24" spans="2:15">
      <c r="B24" s="132">
        <v>15</v>
      </c>
      <c r="C24" s="132" t="s">
        <v>65</v>
      </c>
      <c r="D24" s="151">
        <f t="shared" si="6"/>
        <v>9368</v>
      </c>
      <c r="E24" s="151">
        <f t="shared" si="7"/>
        <v>2368</v>
      </c>
      <c r="F24" s="133">
        <f>37.8*N24*0.4*10000</f>
        <v>2737</v>
      </c>
      <c r="G24" s="132">
        <v>7000</v>
      </c>
      <c r="H24" s="135">
        <v>1.8100000000000002E-2</v>
      </c>
      <c r="I24" s="132">
        <v>500</v>
      </c>
      <c r="J24" s="132">
        <v>1</v>
      </c>
      <c r="K24" s="134">
        <v>1.04</v>
      </c>
      <c r="L24" s="134">
        <v>0.25</v>
      </c>
      <c r="M24" s="83" t="s">
        <v>85</v>
      </c>
      <c r="N24" s="138">
        <f t="shared" si="8"/>
        <v>1.8100000000000002E-2</v>
      </c>
      <c r="O24" s="139">
        <f t="shared" si="9"/>
        <v>130</v>
      </c>
    </row>
    <row r="25" spans="2:15">
      <c r="B25" s="132">
        <v>16</v>
      </c>
      <c r="C25" s="132" t="s">
        <v>66</v>
      </c>
      <c r="D25" s="151">
        <f t="shared" si="6"/>
        <v>929</v>
      </c>
      <c r="E25" s="151">
        <f t="shared" si="7"/>
        <v>929</v>
      </c>
      <c r="F25" s="133">
        <f t="shared" ref="F25:F38" si="10">37.8*N25*0.4*10000</f>
        <v>1074</v>
      </c>
      <c r="G25" s="132"/>
      <c r="H25" s="135">
        <v>7.1000000000000004E-3</v>
      </c>
      <c r="I25" s="132">
        <v>200</v>
      </c>
      <c r="J25" s="132">
        <v>1</v>
      </c>
      <c r="K25" s="134">
        <v>1.01</v>
      </c>
      <c r="L25" s="134">
        <v>0.25</v>
      </c>
      <c r="M25" s="69" t="s">
        <v>85</v>
      </c>
      <c r="N25" s="138">
        <f t="shared" si="8"/>
        <v>7.1000000000000004E-3</v>
      </c>
      <c r="O25" s="139">
        <f t="shared" si="9"/>
        <v>51</v>
      </c>
    </row>
    <row r="26" spans="2:15">
      <c r="B26" s="132">
        <v>17</v>
      </c>
      <c r="C26" s="132" t="s">
        <v>67</v>
      </c>
      <c r="D26" s="151">
        <f t="shared" si="6"/>
        <v>1360</v>
      </c>
      <c r="E26" s="151">
        <f t="shared" si="7"/>
        <v>1360</v>
      </c>
      <c r="F26" s="133">
        <f t="shared" si="10"/>
        <v>1572</v>
      </c>
      <c r="G26" s="132"/>
      <c r="H26" s="135">
        <v>1.04E-2</v>
      </c>
      <c r="I26" s="132">
        <v>300</v>
      </c>
      <c r="J26" s="132">
        <v>1</v>
      </c>
      <c r="K26" s="134">
        <v>1</v>
      </c>
      <c r="L26" s="134">
        <v>0.25</v>
      </c>
      <c r="M26" s="69" t="s">
        <v>85</v>
      </c>
      <c r="N26" s="138">
        <f t="shared" si="8"/>
        <v>1.04E-2</v>
      </c>
      <c r="O26" s="139">
        <f t="shared" si="9"/>
        <v>75</v>
      </c>
    </row>
    <row r="27" spans="2:15">
      <c r="B27" s="132">
        <v>18</v>
      </c>
      <c r="C27" s="132" t="s">
        <v>55</v>
      </c>
      <c r="D27" s="151">
        <f t="shared" si="6"/>
        <v>7390</v>
      </c>
      <c r="E27" s="151">
        <f t="shared" si="7"/>
        <v>7390</v>
      </c>
      <c r="F27" s="133">
        <f t="shared" si="10"/>
        <v>8543</v>
      </c>
      <c r="G27" s="132"/>
      <c r="H27" s="135">
        <v>5.6500000000000002E-2</v>
      </c>
      <c r="I27" s="132">
        <v>600</v>
      </c>
      <c r="J27" s="132">
        <v>1</v>
      </c>
      <c r="K27" s="134">
        <v>1.04</v>
      </c>
      <c r="L27" s="134">
        <v>0.65</v>
      </c>
      <c r="M27" s="69" t="s">
        <v>82</v>
      </c>
      <c r="N27" s="138">
        <f t="shared" si="8"/>
        <v>5.6500000000000002E-2</v>
      </c>
      <c r="O27" s="139">
        <f t="shared" si="9"/>
        <v>406</v>
      </c>
    </row>
    <row r="28" spans="2:15">
      <c r="B28" s="132">
        <v>19</v>
      </c>
      <c r="C28" s="132" t="s">
        <v>57</v>
      </c>
      <c r="D28" s="151">
        <f t="shared" si="6"/>
        <v>35052</v>
      </c>
      <c r="E28" s="151">
        <f t="shared" si="7"/>
        <v>35052</v>
      </c>
      <c r="F28" s="133">
        <f t="shared" si="10"/>
        <v>40522</v>
      </c>
      <c r="G28" s="132"/>
      <c r="H28" s="135">
        <v>0.26800000000000002</v>
      </c>
      <c r="I28" s="132">
        <v>2600</v>
      </c>
      <c r="J28" s="132">
        <v>1</v>
      </c>
      <c r="K28" s="134">
        <v>1.1399999999999999</v>
      </c>
      <c r="L28" s="134">
        <v>0.65</v>
      </c>
      <c r="M28" s="83" t="s">
        <v>82</v>
      </c>
      <c r="N28" s="138">
        <f t="shared" si="8"/>
        <v>0.26800000000000002</v>
      </c>
      <c r="O28" s="139">
        <f t="shared" si="9"/>
        <v>1927</v>
      </c>
    </row>
    <row r="29" spans="2:15">
      <c r="B29" s="132">
        <v>20</v>
      </c>
      <c r="C29" s="132" t="s">
        <v>68</v>
      </c>
      <c r="D29" s="151">
        <f t="shared" si="6"/>
        <v>19462</v>
      </c>
      <c r="E29" s="151">
        <f t="shared" si="7"/>
        <v>19462</v>
      </c>
      <c r="F29" s="133">
        <f t="shared" si="10"/>
        <v>22499</v>
      </c>
      <c r="G29" s="132"/>
      <c r="H29" s="135">
        <v>0.14879999999999999</v>
      </c>
      <c r="I29" s="132">
        <v>2000</v>
      </c>
      <c r="J29" s="132">
        <v>1</v>
      </c>
      <c r="K29" s="134">
        <v>1.07</v>
      </c>
      <c r="L29" s="134">
        <v>0.5</v>
      </c>
      <c r="M29" s="69" t="s">
        <v>83</v>
      </c>
      <c r="N29" s="138">
        <f t="shared" si="8"/>
        <v>0.14879999999999999</v>
      </c>
      <c r="O29" s="139">
        <f t="shared" si="9"/>
        <v>1070</v>
      </c>
    </row>
    <row r="30" spans="2:15">
      <c r="B30" s="132">
        <v>21</v>
      </c>
      <c r="C30" s="132" t="s">
        <v>60</v>
      </c>
      <c r="D30" s="151">
        <f t="shared" si="6"/>
        <v>9639</v>
      </c>
      <c r="E30" s="151">
        <f t="shared" si="7"/>
        <v>9639</v>
      </c>
      <c r="F30" s="133">
        <f t="shared" si="10"/>
        <v>11143</v>
      </c>
      <c r="G30" s="132"/>
      <c r="H30" s="135">
        <v>7.3700000000000002E-2</v>
      </c>
      <c r="I30" s="132">
        <v>800</v>
      </c>
      <c r="J30" s="132">
        <v>1</v>
      </c>
      <c r="K30" s="134">
        <v>1.02</v>
      </c>
      <c r="L30" s="134">
        <v>0.65</v>
      </c>
      <c r="M30" s="69" t="s">
        <v>82</v>
      </c>
      <c r="N30" s="138">
        <f t="shared" si="8"/>
        <v>7.3700000000000002E-2</v>
      </c>
      <c r="O30" s="139">
        <f t="shared" si="9"/>
        <v>530</v>
      </c>
    </row>
    <row r="31" spans="2:15">
      <c r="B31" s="132">
        <v>22</v>
      </c>
      <c r="C31" s="132" t="s">
        <v>69</v>
      </c>
      <c r="D31" s="151">
        <f t="shared" si="6"/>
        <v>5454</v>
      </c>
      <c r="E31" s="151">
        <f t="shared" si="7"/>
        <v>5454</v>
      </c>
      <c r="F31" s="133">
        <f t="shared" si="10"/>
        <v>6305</v>
      </c>
      <c r="G31" s="132"/>
      <c r="H31" s="135">
        <v>4.1700000000000001E-2</v>
      </c>
      <c r="I31" s="132">
        <v>600</v>
      </c>
      <c r="J31" s="132">
        <v>1</v>
      </c>
      <c r="K31" s="134">
        <v>1</v>
      </c>
      <c r="L31" s="134">
        <v>0.5</v>
      </c>
      <c r="M31" s="69" t="s">
        <v>84</v>
      </c>
      <c r="N31" s="138">
        <f t="shared" si="8"/>
        <v>4.1700000000000001E-2</v>
      </c>
      <c r="O31" s="139">
        <f t="shared" si="9"/>
        <v>300</v>
      </c>
    </row>
    <row r="32" spans="2:15">
      <c r="B32" s="132">
        <v>23</v>
      </c>
      <c r="C32" s="132" t="s">
        <v>61</v>
      </c>
      <c r="D32" s="151">
        <f t="shared" si="6"/>
        <v>4586</v>
      </c>
      <c r="E32" s="151">
        <f t="shared" si="7"/>
        <v>1086</v>
      </c>
      <c r="F32" s="133">
        <f t="shared" si="10"/>
        <v>1255</v>
      </c>
      <c r="G32" s="132">
        <v>3500</v>
      </c>
      <c r="H32" s="135">
        <v>8.3000000000000001E-3</v>
      </c>
      <c r="I32" s="132">
        <v>90</v>
      </c>
      <c r="J32" s="132">
        <v>1</v>
      </c>
      <c r="K32" s="134">
        <v>1.03</v>
      </c>
      <c r="L32" s="134">
        <v>0.65</v>
      </c>
      <c r="M32" s="69" t="s">
        <v>82</v>
      </c>
      <c r="N32" s="138">
        <f t="shared" si="8"/>
        <v>8.3000000000000001E-3</v>
      </c>
      <c r="O32" s="139">
        <f t="shared" si="9"/>
        <v>60</v>
      </c>
    </row>
    <row r="33" spans="2:15">
      <c r="B33" s="132">
        <v>24</v>
      </c>
      <c r="C33" s="132" t="s">
        <v>74</v>
      </c>
      <c r="D33" s="151">
        <f t="shared" si="6"/>
        <v>10241</v>
      </c>
      <c r="E33" s="151">
        <f t="shared" si="7"/>
        <v>10241</v>
      </c>
      <c r="F33" s="133">
        <f t="shared" si="10"/>
        <v>11839</v>
      </c>
      <c r="G33" s="132"/>
      <c r="H33" s="135">
        <v>7.8299999999999995E-2</v>
      </c>
      <c r="I33" s="132">
        <v>1125</v>
      </c>
      <c r="J33" s="132">
        <v>0.58799999999999997</v>
      </c>
      <c r="K33" s="134">
        <v>1</v>
      </c>
      <c r="L33" s="134">
        <v>0.5</v>
      </c>
      <c r="M33" s="69" t="s">
        <v>84</v>
      </c>
      <c r="N33" s="138">
        <f t="shared" si="8"/>
        <v>7.8299999999999995E-2</v>
      </c>
      <c r="O33" s="139">
        <f t="shared" si="9"/>
        <v>563</v>
      </c>
    </row>
    <row r="34" spans="2:15">
      <c r="B34" s="132">
        <v>25</v>
      </c>
      <c r="C34" s="132" t="s">
        <v>75</v>
      </c>
      <c r="D34" s="151">
        <f t="shared" si="6"/>
        <v>15435</v>
      </c>
      <c r="E34" s="151">
        <f t="shared" si="7"/>
        <v>8435</v>
      </c>
      <c r="F34" s="133">
        <f t="shared" si="10"/>
        <v>9752</v>
      </c>
      <c r="G34" s="132">
        <v>7000</v>
      </c>
      <c r="H34" s="135">
        <v>6.4500000000000002E-2</v>
      </c>
      <c r="I34" s="132">
        <v>900</v>
      </c>
      <c r="J34" s="132">
        <v>1</v>
      </c>
      <c r="K34" s="134">
        <v>1.03</v>
      </c>
      <c r="L34" s="134">
        <v>0.5</v>
      </c>
      <c r="M34" s="69" t="s">
        <v>84</v>
      </c>
      <c r="N34" s="138">
        <f t="shared" si="8"/>
        <v>6.4500000000000002E-2</v>
      </c>
      <c r="O34" s="139">
        <f t="shared" si="9"/>
        <v>464</v>
      </c>
    </row>
    <row r="35" spans="2:15">
      <c r="B35" s="132">
        <v>26</v>
      </c>
      <c r="C35" s="132" t="s">
        <v>76</v>
      </c>
      <c r="D35" s="151">
        <f t="shared" si="6"/>
        <v>4604</v>
      </c>
      <c r="E35" s="151">
        <f t="shared" si="7"/>
        <v>4604</v>
      </c>
      <c r="F35" s="133">
        <f t="shared" si="10"/>
        <v>5322</v>
      </c>
      <c r="G35" s="132"/>
      <c r="H35" s="135">
        <v>3.5200000000000002E-2</v>
      </c>
      <c r="I35" s="132">
        <v>500</v>
      </c>
      <c r="J35" s="132">
        <v>1</v>
      </c>
      <c r="K35" s="134">
        <v>1.01</v>
      </c>
      <c r="L35" s="134">
        <v>0.5</v>
      </c>
      <c r="M35" s="69" t="s">
        <v>84</v>
      </c>
      <c r="N35" s="138">
        <f t="shared" si="8"/>
        <v>3.5200000000000002E-2</v>
      </c>
      <c r="O35" s="139">
        <f t="shared" si="9"/>
        <v>253</v>
      </c>
    </row>
    <row r="36" spans="2:15" s="4" customFormat="1">
      <c r="B36" s="153">
        <v>27</v>
      </c>
      <c r="C36" s="153" t="s">
        <v>77</v>
      </c>
      <c r="D36" s="151">
        <f t="shared" si="6"/>
        <v>10000</v>
      </c>
      <c r="E36" s="154">
        <v>10000</v>
      </c>
      <c r="F36" s="155">
        <f t="shared" si="10"/>
        <v>5322</v>
      </c>
      <c r="G36" s="153"/>
      <c r="H36" s="156">
        <v>3.5200000000000002E-2</v>
      </c>
      <c r="I36" s="153">
        <v>500</v>
      </c>
      <c r="J36" s="153">
        <v>1</v>
      </c>
      <c r="K36" s="158">
        <v>1.01</v>
      </c>
      <c r="L36" s="158">
        <v>0.5</v>
      </c>
      <c r="M36" s="159" t="s">
        <v>84</v>
      </c>
      <c r="N36" s="160">
        <f t="shared" si="8"/>
        <v>3.5200000000000002E-2</v>
      </c>
      <c r="O36" s="161">
        <f t="shared" si="9"/>
        <v>253</v>
      </c>
    </row>
    <row r="37" spans="2:15">
      <c r="B37" s="132">
        <v>28</v>
      </c>
      <c r="C37" s="132" t="s">
        <v>78</v>
      </c>
      <c r="D37" s="151">
        <f t="shared" si="6"/>
        <v>8345</v>
      </c>
      <c r="E37" s="151">
        <f>F37*(1-0.135)</f>
        <v>8345</v>
      </c>
      <c r="F37" s="133">
        <f t="shared" si="10"/>
        <v>9647</v>
      </c>
      <c r="G37" s="132"/>
      <c r="H37" s="135">
        <v>6.3799999999999996E-2</v>
      </c>
      <c r="I37" s="132">
        <v>900</v>
      </c>
      <c r="J37" s="132">
        <v>0.77</v>
      </c>
      <c r="K37" s="134">
        <v>1.02</v>
      </c>
      <c r="L37" s="134">
        <v>0.5</v>
      </c>
      <c r="M37" s="69" t="s">
        <v>84</v>
      </c>
      <c r="N37" s="138">
        <f t="shared" si="8"/>
        <v>6.3799999999999996E-2</v>
      </c>
      <c r="O37" s="139">
        <f t="shared" si="9"/>
        <v>459</v>
      </c>
    </row>
    <row r="38" spans="2:15">
      <c r="B38" s="132">
        <v>29</v>
      </c>
      <c r="C38" s="157" t="s">
        <v>79</v>
      </c>
      <c r="D38" s="151">
        <f t="shared" si="6"/>
        <v>1262</v>
      </c>
      <c r="E38" s="151">
        <f>F38*(1-0.14)</f>
        <v>1262</v>
      </c>
      <c r="F38" s="133">
        <f t="shared" si="10"/>
        <v>1467</v>
      </c>
      <c r="G38" s="132"/>
      <c r="H38" s="135">
        <v>9.7000000000000003E-3</v>
      </c>
      <c r="I38" s="132">
        <v>140</v>
      </c>
      <c r="J38" s="132">
        <v>1</v>
      </c>
      <c r="K38" s="134">
        <v>1</v>
      </c>
      <c r="L38" s="134">
        <v>0.5</v>
      </c>
      <c r="M38" s="69" t="s">
        <v>84</v>
      </c>
      <c r="N38" s="138">
        <f t="shared" si="8"/>
        <v>9.7000000000000003E-3</v>
      </c>
      <c r="O38" s="139">
        <f t="shared" si="9"/>
        <v>70</v>
      </c>
    </row>
    <row r="39" spans="2:15">
      <c r="B39" s="132"/>
      <c r="C39" s="132" t="s">
        <v>141</v>
      </c>
      <c r="D39" s="151">
        <f>SUM(D22:D38)</f>
        <v>153642</v>
      </c>
      <c r="E39" s="151">
        <f>SUM(E22:E38)</f>
        <v>136142</v>
      </c>
      <c r="F39" s="133">
        <f>SUM(F22:F38)</f>
        <v>151155</v>
      </c>
      <c r="G39" s="132"/>
      <c r="H39" s="134"/>
      <c r="I39" s="132">
        <v>12815</v>
      </c>
      <c r="J39" s="132"/>
      <c r="K39" s="132"/>
      <c r="L39" s="132"/>
      <c r="M39" s="132"/>
      <c r="O39" s="139">
        <f>SUM(O22:O38)</f>
        <v>7189</v>
      </c>
    </row>
    <row r="40" spans="2:15">
      <c r="D40" s="142">
        <f>D20+D39</f>
        <v>419931</v>
      </c>
      <c r="E40" s="142">
        <f>E20+E39</f>
        <v>377931</v>
      </c>
      <c r="F40" s="121">
        <f>F20+F39</f>
        <v>378000</v>
      </c>
    </row>
  </sheetData>
  <mergeCells count="4">
    <mergeCell ref="A1:B1"/>
    <mergeCell ref="B3:M3"/>
    <mergeCell ref="B7:M7"/>
    <mergeCell ref="B21:M21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topLeftCell="A13" workbookViewId="0">
      <selection activeCell="D8" sqref="D8"/>
    </sheetView>
  </sheetViews>
  <sheetFormatPr defaultColWidth="9" defaultRowHeight="17.399999999999999"/>
  <cols>
    <col min="2" max="2" width="6.33203125" style="120" customWidth="1"/>
    <col min="3" max="3" width="13.21875" style="120" customWidth="1"/>
    <col min="4" max="4" width="15" style="121" customWidth="1"/>
    <col min="5" max="5" width="13.33203125" style="120" customWidth="1"/>
    <col min="6" max="6" width="11.21875" style="122" customWidth="1"/>
    <col min="7" max="7" width="12.33203125" style="120" customWidth="1"/>
    <col min="8" max="8" width="10.6640625" style="120" customWidth="1"/>
    <col min="9" max="9" width="11.33203125" style="120" customWidth="1"/>
    <col min="10" max="10" width="10.6640625" style="120" customWidth="1"/>
    <col min="11" max="11" width="11.33203125" customWidth="1"/>
    <col min="12" max="12" width="10.21875" style="6" customWidth="1"/>
    <col min="13" max="13" width="9.21875" style="6" customWidth="1"/>
    <col min="14" max="14" width="12.21875" customWidth="1"/>
  </cols>
  <sheetData>
    <row r="1" spans="1:13">
      <c r="A1" s="123" t="s">
        <v>34</v>
      </c>
      <c r="C1" s="124"/>
      <c r="D1" s="125"/>
      <c r="E1" s="124"/>
      <c r="F1" s="126"/>
      <c r="G1" s="124"/>
      <c r="H1" s="124"/>
      <c r="I1" s="124"/>
      <c r="J1" s="124"/>
      <c r="K1" s="136"/>
    </row>
    <row r="2" spans="1:13" ht="20.399999999999999">
      <c r="B2" s="546" t="s">
        <v>35</v>
      </c>
      <c r="C2" s="546"/>
      <c r="D2" s="546"/>
      <c r="E2" s="546"/>
      <c r="F2" s="546"/>
      <c r="G2" s="546"/>
      <c r="H2" s="546"/>
      <c r="I2" s="546"/>
      <c r="J2" s="546"/>
      <c r="K2" s="547"/>
    </row>
    <row r="3" spans="1:13">
      <c r="B3" s="127"/>
      <c r="C3" s="127"/>
      <c r="D3" s="128"/>
      <c r="E3" s="127"/>
      <c r="F3" s="127"/>
      <c r="G3" s="127"/>
      <c r="H3" s="127"/>
      <c r="I3" s="127"/>
      <c r="J3" s="127"/>
      <c r="K3" s="137"/>
    </row>
    <row r="4" spans="1:13" ht="62.4">
      <c r="B4" s="129" t="s">
        <v>1</v>
      </c>
      <c r="C4" s="129" t="s">
        <v>2</v>
      </c>
      <c r="D4" s="130" t="s">
        <v>123</v>
      </c>
      <c r="E4" s="129" t="s">
        <v>142</v>
      </c>
      <c r="F4" s="131" t="s">
        <v>42</v>
      </c>
      <c r="G4" s="129" t="s">
        <v>43</v>
      </c>
      <c r="H4" s="129" t="s">
        <v>44</v>
      </c>
      <c r="I4" s="129" t="s">
        <v>45</v>
      </c>
      <c r="J4" s="129" t="s">
        <v>4</v>
      </c>
      <c r="K4" s="129" t="s">
        <v>81</v>
      </c>
    </row>
    <row r="5" spans="1:13">
      <c r="B5" s="132"/>
      <c r="C5" s="132" t="s">
        <v>48</v>
      </c>
      <c r="D5" s="133">
        <f>D19+D38</f>
        <v>419932</v>
      </c>
      <c r="E5" s="132"/>
      <c r="F5" s="134"/>
      <c r="G5" s="132">
        <v>24330</v>
      </c>
      <c r="H5" s="132"/>
      <c r="I5" s="132"/>
      <c r="J5" s="132"/>
      <c r="K5" s="132"/>
    </row>
    <row r="6" spans="1:13" ht="28.95" customHeight="1">
      <c r="B6" s="548" t="s">
        <v>143</v>
      </c>
      <c r="C6" s="549"/>
      <c r="D6" s="549"/>
      <c r="E6" s="549"/>
      <c r="F6" s="549"/>
      <c r="G6" s="549"/>
      <c r="H6" s="549"/>
      <c r="I6" s="549"/>
      <c r="J6" s="549"/>
      <c r="K6" s="550"/>
    </row>
    <row r="7" spans="1:13">
      <c r="B7" s="132">
        <v>1</v>
      </c>
      <c r="C7" s="132" t="s">
        <v>49</v>
      </c>
      <c r="D7" s="133">
        <f>37.8*L7*0.6*10000</f>
        <v>3084</v>
      </c>
      <c r="E7" s="132"/>
      <c r="F7" s="135">
        <v>1.3599999999999999E-2</v>
      </c>
      <c r="G7" s="132">
        <v>140</v>
      </c>
      <c r="H7" s="132">
        <v>1</v>
      </c>
      <c r="I7" s="134">
        <v>1</v>
      </c>
      <c r="J7" s="134">
        <v>0.65</v>
      </c>
      <c r="K7" s="69" t="s">
        <v>82</v>
      </c>
      <c r="L7" s="138">
        <f>M7/6679</f>
        <v>1.3599999999999999E-2</v>
      </c>
      <c r="M7" s="139">
        <f>G7*I7*J7</f>
        <v>91</v>
      </c>
    </row>
    <row r="8" spans="1:13">
      <c r="B8" s="132">
        <v>2</v>
      </c>
      <c r="C8" s="132" t="s">
        <v>51</v>
      </c>
      <c r="D8" s="133">
        <f t="shared" ref="D8:D18" si="0">37.8*L8*0.6*10000</f>
        <v>2744</v>
      </c>
      <c r="E8" s="132"/>
      <c r="F8" s="135">
        <v>1.21E-2</v>
      </c>
      <c r="G8" s="132">
        <v>125</v>
      </c>
      <c r="H8" s="132">
        <v>1</v>
      </c>
      <c r="I8" s="134">
        <v>1</v>
      </c>
      <c r="J8" s="134">
        <v>0.65</v>
      </c>
      <c r="K8" s="69" t="s">
        <v>144</v>
      </c>
      <c r="L8" s="138">
        <f t="shared" ref="L8:L18" si="1">M8/6679</f>
        <v>1.21E-2</v>
      </c>
      <c r="M8" s="139">
        <f t="shared" ref="M8:M18" si="2">G8*I8*J8</f>
        <v>81</v>
      </c>
    </row>
    <row r="9" spans="1:13">
      <c r="B9" s="132">
        <v>3</v>
      </c>
      <c r="C9" s="132" t="s">
        <v>52</v>
      </c>
      <c r="D9" s="133">
        <f>37.8*L9*0.6*10000+7000</f>
        <v>53358</v>
      </c>
      <c r="E9" s="132">
        <v>7000</v>
      </c>
      <c r="F9" s="135">
        <v>0.2044</v>
      </c>
      <c r="G9" s="132">
        <v>2000</v>
      </c>
      <c r="H9" s="132">
        <v>1</v>
      </c>
      <c r="I9" s="132">
        <v>1.05</v>
      </c>
      <c r="J9" s="134">
        <v>0.65</v>
      </c>
      <c r="K9" s="83" t="s">
        <v>82</v>
      </c>
      <c r="L9" s="138">
        <f t="shared" si="1"/>
        <v>0.2044</v>
      </c>
      <c r="M9" s="139">
        <f t="shared" si="2"/>
        <v>1365</v>
      </c>
    </row>
    <row r="10" spans="1:13">
      <c r="B10" s="132">
        <v>4</v>
      </c>
      <c r="C10" s="132" t="s">
        <v>53</v>
      </c>
      <c r="D10" s="133">
        <f t="shared" si="0"/>
        <v>2200</v>
      </c>
      <c r="E10" s="132"/>
      <c r="F10" s="134">
        <v>0.01</v>
      </c>
      <c r="G10" s="132">
        <v>100</v>
      </c>
      <c r="H10" s="132">
        <v>1</v>
      </c>
      <c r="I10" s="134">
        <v>1</v>
      </c>
      <c r="J10" s="134">
        <v>0.65</v>
      </c>
      <c r="K10" s="69" t="s">
        <v>82</v>
      </c>
      <c r="L10" s="138">
        <f t="shared" si="1"/>
        <v>9.7000000000000003E-3</v>
      </c>
      <c r="M10" s="139">
        <f t="shared" si="2"/>
        <v>65</v>
      </c>
    </row>
    <row r="11" spans="1:13">
      <c r="B11" s="132">
        <v>5</v>
      </c>
      <c r="C11" s="132" t="s">
        <v>54</v>
      </c>
      <c r="D11" s="133">
        <f t="shared" si="0"/>
        <v>16602</v>
      </c>
      <c r="E11" s="132"/>
      <c r="F11" s="135">
        <v>7.3200000000000001E-2</v>
      </c>
      <c r="G11" s="132">
        <v>950</v>
      </c>
      <c r="H11" s="132">
        <v>1</v>
      </c>
      <c r="I11" s="132">
        <v>1.03</v>
      </c>
      <c r="J11" s="134">
        <v>0.5</v>
      </c>
      <c r="K11" s="69" t="s">
        <v>83</v>
      </c>
      <c r="L11" s="138">
        <f t="shared" si="1"/>
        <v>7.3200000000000001E-2</v>
      </c>
      <c r="M11" s="139">
        <f t="shared" si="2"/>
        <v>489</v>
      </c>
    </row>
    <row r="12" spans="1:13">
      <c r="B12" s="132">
        <v>6</v>
      </c>
      <c r="C12" s="132" t="s">
        <v>138</v>
      </c>
      <c r="D12" s="133">
        <f>37.8*L12*0.6*10000+7000</f>
        <v>20857</v>
      </c>
      <c r="E12" s="132">
        <v>7000</v>
      </c>
      <c r="F12" s="135">
        <v>6.1100000000000002E-2</v>
      </c>
      <c r="G12" s="132">
        <v>800</v>
      </c>
      <c r="H12" s="132">
        <v>1</v>
      </c>
      <c r="I12" s="132">
        <v>1.02</v>
      </c>
      <c r="J12" s="134">
        <v>0.5</v>
      </c>
      <c r="K12" s="69" t="s">
        <v>83</v>
      </c>
      <c r="L12" s="138">
        <f t="shared" si="1"/>
        <v>6.1100000000000002E-2</v>
      </c>
      <c r="M12" s="139">
        <f t="shared" si="2"/>
        <v>408</v>
      </c>
    </row>
    <row r="13" spans="1:13">
      <c r="B13" s="132">
        <v>7</v>
      </c>
      <c r="C13" s="132" t="s">
        <v>58</v>
      </c>
      <c r="D13" s="133">
        <f t="shared" si="0"/>
        <v>18666</v>
      </c>
      <c r="E13" s="132"/>
      <c r="F13" s="135">
        <v>8.2299999999999998E-2</v>
      </c>
      <c r="G13" s="132">
        <v>1000</v>
      </c>
      <c r="H13" s="132">
        <v>1</v>
      </c>
      <c r="I13" s="132">
        <v>1.1000000000000001</v>
      </c>
      <c r="J13" s="134">
        <v>0.5</v>
      </c>
      <c r="K13" s="69" t="s">
        <v>83</v>
      </c>
      <c r="L13" s="138">
        <f t="shared" si="1"/>
        <v>8.2299999999999998E-2</v>
      </c>
      <c r="M13" s="139">
        <f t="shared" si="2"/>
        <v>550</v>
      </c>
    </row>
    <row r="14" spans="1:13">
      <c r="B14" s="132">
        <v>8</v>
      </c>
      <c r="C14" s="132" t="s">
        <v>59</v>
      </c>
      <c r="D14" s="133">
        <f t="shared" si="0"/>
        <v>61123</v>
      </c>
      <c r="E14" s="132"/>
      <c r="F14" s="135">
        <v>0.26950000000000002</v>
      </c>
      <c r="G14" s="132">
        <v>3000</v>
      </c>
      <c r="H14" s="132">
        <v>1</v>
      </c>
      <c r="I14" s="132">
        <v>1.2</v>
      </c>
      <c r="J14" s="134">
        <v>0.5</v>
      </c>
      <c r="K14" s="69" t="s">
        <v>83</v>
      </c>
      <c r="L14" s="138">
        <f t="shared" si="1"/>
        <v>0.26950000000000002</v>
      </c>
      <c r="M14" s="139">
        <f t="shared" si="2"/>
        <v>1800</v>
      </c>
    </row>
    <row r="15" spans="1:13">
      <c r="B15" s="132">
        <v>9</v>
      </c>
      <c r="C15" s="132" t="s">
        <v>70</v>
      </c>
      <c r="D15" s="133">
        <f t="shared" si="0"/>
        <v>6985</v>
      </c>
      <c r="E15" s="132"/>
      <c r="F15" s="135">
        <v>3.0800000000000001E-2</v>
      </c>
      <c r="G15" s="132">
        <v>400</v>
      </c>
      <c r="H15" s="132">
        <v>1</v>
      </c>
      <c r="I15" s="132">
        <v>1.03</v>
      </c>
      <c r="J15" s="134">
        <v>0.5</v>
      </c>
      <c r="K15" s="69" t="s">
        <v>84</v>
      </c>
      <c r="L15" s="138">
        <f t="shared" si="1"/>
        <v>3.0800000000000001E-2</v>
      </c>
      <c r="M15" s="139">
        <f t="shared" si="2"/>
        <v>206</v>
      </c>
    </row>
    <row r="16" spans="1:13">
      <c r="B16" s="132">
        <v>10</v>
      </c>
      <c r="C16" s="132" t="s">
        <v>71</v>
      </c>
      <c r="D16" s="133">
        <f>37.8*L16*0.6*10000+7000</f>
        <v>39092</v>
      </c>
      <c r="E16" s="132">
        <v>7000</v>
      </c>
      <c r="F16" s="135">
        <v>0.14149999999999999</v>
      </c>
      <c r="G16" s="132">
        <v>1800</v>
      </c>
      <c r="H16" s="132">
        <v>1</v>
      </c>
      <c r="I16" s="132">
        <v>1.05</v>
      </c>
      <c r="J16" s="134">
        <v>0.5</v>
      </c>
      <c r="K16" s="69" t="s">
        <v>84</v>
      </c>
      <c r="L16" s="138">
        <f t="shared" si="1"/>
        <v>0.14149999999999999</v>
      </c>
      <c r="M16" s="139">
        <f t="shared" si="2"/>
        <v>945</v>
      </c>
    </row>
    <row r="17" spans="2:13">
      <c r="B17" s="132">
        <v>11</v>
      </c>
      <c r="C17" s="132" t="s">
        <v>72</v>
      </c>
      <c r="D17" s="133">
        <f t="shared" si="0"/>
        <v>10705</v>
      </c>
      <c r="E17" s="132"/>
      <c r="F17" s="135">
        <v>4.7199999999999999E-2</v>
      </c>
      <c r="G17" s="132">
        <v>600</v>
      </c>
      <c r="H17" s="132">
        <v>1</v>
      </c>
      <c r="I17" s="132">
        <v>1.05</v>
      </c>
      <c r="J17" s="134">
        <v>0.5</v>
      </c>
      <c r="K17" s="69" t="s">
        <v>84</v>
      </c>
      <c r="L17" s="138">
        <f t="shared" si="1"/>
        <v>4.7199999999999999E-2</v>
      </c>
      <c r="M17" s="139">
        <f t="shared" si="2"/>
        <v>315</v>
      </c>
    </row>
    <row r="18" spans="2:13">
      <c r="B18" s="132">
        <v>12</v>
      </c>
      <c r="C18" s="132" t="s">
        <v>73</v>
      </c>
      <c r="D18" s="133">
        <f t="shared" si="0"/>
        <v>12361</v>
      </c>
      <c r="E18" s="132"/>
      <c r="F18" s="135">
        <v>5.45E-2</v>
      </c>
      <c r="G18" s="132">
        <v>700</v>
      </c>
      <c r="H18" s="132">
        <v>1</v>
      </c>
      <c r="I18" s="132">
        <v>1.04</v>
      </c>
      <c r="J18" s="134">
        <v>0.5</v>
      </c>
      <c r="K18" s="69" t="s">
        <v>84</v>
      </c>
      <c r="L18" s="138">
        <f t="shared" si="1"/>
        <v>5.45E-2</v>
      </c>
      <c r="M18" s="139">
        <f t="shared" si="2"/>
        <v>364</v>
      </c>
    </row>
    <row r="19" spans="2:13">
      <c r="B19" s="132"/>
      <c r="C19" s="132" t="s">
        <v>139</v>
      </c>
      <c r="D19" s="133">
        <f>SUM(D7:D18)</f>
        <v>247777</v>
      </c>
      <c r="E19" s="132"/>
      <c r="F19" s="134"/>
      <c r="G19" s="132">
        <v>11515</v>
      </c>
      <c r="H19" s="132"/>
      <c r="I19" s="132"/>
      <c r="J19" s="132"/>
      <c r="K19" s="140"/>
      <c r="M19" s="139">
        <f>SUM(M7:M18)</f>
        <v>6679</v>
      </c>
    </row>
    <row r="20" spans="2:13" ht="25.5" customHeight="1">
      <c r="B20" s="548" t="s">
        <v>145</v>
      </c>
      <c r="C20" s="549"/>
      <c r="D20" s="549"/>
      <c r="E20" s="549"/>
      <c r="F20" s="549"/>
      <c r="G20" s="549"/>
      <c r="H20" s="549"/>
      <c r="I20" s="549"/>
      <c r="J20" s="549"/>
      <c r="K20" s="550"/>
    </row>
    <row r="21" spans="2:13">
      <c r="B21" s="132">
        <v>13</v>
      </c>
      <c r="C21" s="132" t="s">
        <v>63</v>
      </c>
      <c r="D21" s="133">
        <f>37.8*L21*0.4*10000</f>
        <v>8376</v>
      </c>
      <c r="E21" s="132"/>
      <c r="F21" s="135">
        <v>5.5399999999999998E-2</v>
      </c>
      <c r="G21" s="132">
        <v>600</v>
      </c>
      <c r="H21" s="132">
        <v>1</v>
      </c>
      <c r="I21" s="134">
        <v>1.02</v>
      </c>
      <c r="J21" s="134">
        <v>0.65</v>
      </c>
      <c r="K21" s="83" t="s">
        <v>83</v>
      </c>
      <c r="L21" s="138">
        <f>M21/7189</f>
        <v>5.5399999999999998E-2</v>
      </c>
      <c r="M21" s="139">
        <f>G21*I21*J21</f>
        <v>398</v>
      </c>
    </row>
    <row r="22" spans="2:13">
      <c r="B22" s="132">
        <v>14</v>
      </c>
      <c r="C22" s="132" t="s">
        <v>64</v>
      </c>
      <c r="D22" s="133">
        <f t="shared" ref="D22:D37" si="3">37.8*L22*0.4*10000</f>
        <v>3780</v>
      </c>
      <c r="E22" s="132"/>
      <c r="F22" s="135">
        <v>2.5000000000000001E-2</v>
      </c>
      <c r="G22" s="132">
        <v>360</v>
      </c>
      <c r="H22" s="132">
        <v>1</v>
      </c>
      <c r="I22" s="134">
        <v>1</v>
      </c>
      <c r="J22" s="134">
        <v>0.5</v>
      </c>
      <c r="K22" s="69" t="s">
        <v>84</v>
      </c>
      <c r="L22" s="138">
        <f t="shared" ref="L22:L37" si="4">M22/7189</f>
        <v>2.5000000000000001E-2</v>
      </c>
      <c r="M22" s="139">
        <f t="shared" ref="M22:M37" si="5">G22*I22*J22</f>
        <v>180</v>
      </c>
    </row>
    <row r="23" spans="2:13">
      <c r="B23" s="132">
        <v>15</v>
      </c>
      <c r="C23" s="132" t="s">
        <v>65</v>
      </c>
      <c r="D23" s="133">
        <f>37.8*L23*0.4*10000+7000</f>
        <v>9737</v>
      </c>
      <c r="E23" s="132">
        <v>7000</v>
      </c>
      <c r="F23" s="135">
        <v>1.8100000000000002E-2</v>
      </c>
      <c r="G23" s="132">
        <v>500</v>
      </c>
      <c r="H23" s="132">
        <v>1</v>
      </c>
      <c r="I23" s="134">
        <v>1.04</v>
      </c>
      <c r="J23" s="134">
        <v>0.25</v>
      </c>
      <c r="K23" s="83" t="s">
        <v>85</v>
      </c>
      <c r="L23" s="138">
        <f t="shared" si="4"/>
        <v>1.8100000000000002E-2</v>
      </c>
      <c r="M23" s="139">
        <f t="shared" si="5"/>
        <v>130</v>
      </c>
    </row>
    <row r="24" spans="2:13">
      <c r="B24" s="132">
        <v>16</v>
      </c>
      <c r="C24" s="132" t="s">
        <v>66</v>
      </c>
      <c r="D24" s="133">
        <f t="shared" si="3"/>
        <v>1074</v>
      </c>
      <c r="E24" s="132"/>
      <c r="F24" s="135">
        <v>7.1000000000000004E-3</v>
      </c>
      <c r="G24" s="132">
        <v>200</v>
      </c>
      <c r="H24" s="132">
        <v>1</v>
      </c>
      <c r="I24" s="134">
        <v>1.01</v>
      </c>
      <c r="J24" s="134">
        <v>0.25</v>
      </c>
      <c r="K24" s="69" t="s">
        <v>85</v>
      </c>
      <c r="L24" s="138">
        <f t="shared" si="4"/>
        <v>7.1000000000000004E-3</v>
      </c>
      <c r="M24" s="139">
        <f t="shared" si="5"/>
        <v>51</v>
      </c>
    </row>
    <row r="25" spans="2:13">
      <c r="B25" s="132">
        <v>17</v>
      </c>
      <c r="C25" s="132" t="s">
        <v>67</v>
      </c>
      <c r="D25" s="133">
        <f t="shared" si="3"/>
        <v>1572</v>
      </c>
      <c r="E25" s="132"/>
      <c r="F25" s="135">
        <v>1.04E-2</v>
      </c>
      <c r="G25" s="132">
        <v>300</v>
      </c>
      <c r="H25" s="132">
        <v>1</v>
      </c>
      <c r="I25" s="134">
        <v>1</v>
      </c>
      <c r="J25" s="134">
        <v>0.25</v>
      </c>
      <c r="K25" s="69" t="s">
        <v>85</v>
      </c>
      <c r="L25" s="138">
        <f t="shared" si="4"/>
        <v>1.04E-2</v>
      </c>
      <c r="M25" s="139">
        <f t="shared" si="5"/>
        <v>75</v>
      </c>
    </row>
    <row r="26" spans="2:13">
      <c r="B26" s="132">
        <v>18</v>
      </c>
      <c r="C26" s="132" t="s">
        <v>55</v>
      </c>
      <c r="D26" s="133">
        <f t="shared" si="3"/>
        <v>8543</v>
      </c>
      <c r="E26" s="132"/>
      <c r="F26" s="135">
        <v>5.6500000000000002E-2</v>
      </c>
      <c r="G26" s="132">
        <v>600</v>
      </c>
      <c r="H26" s="132">
        <v>1</v>
      </c>
      <c r="I26" s="134">
        <v>1.04</v>
      </c>
      <c r="J26" s="134">
        <v>0.65</v>
      </c>
      <c r="K26" s="69" t="s">
        <v>82</v>
      </c>
      <c r="L26" s="138">
        <f t="shared" si="4"/>
        <v>5.6500000000000002E-2</v>
      </c>
      <c r="M26" s="139">
        <f t="shared" si="5"/>
        <v>406</v>
      </c>
    </row>
    <row r="27" spans="2:13">
      <c r="B27" s="132">
        <v>19</v>
      </c>
      <c r="C27" s="132" t="s">
        <v>57</v>
      </c>
      <c r="D27" s="133">
        <f t="shared" si="3"/>
        <v>40522</v>
      </c>
      <c r="E27" s="132"/>
      <c r="F27" s="135">
        <v>0.26800000000000002</v>
      </c>
      <c r="G27" s="132">
        <v>2600</v>
      </c>
      <c r="H27" s="132">
        <v>1</v>
      </c>
      <c r="I27" s="134">
        <v>1.1399999999999999</v>
      </c>
      <c r="J27" s="134">
        <v>0.65</v>
      </c>
      <c r="K27" s="83" t="s">
        <v>82</v>
      </c>
      <c r="L27" s="138">
        <f t="shared" si="4"/>
        <v>0.26800000000000002</v>
      </c>
      <c r="M27" s="139">
        <f t="shared" si="5"/>
        <v>1927</v>
      </c>
    </row>
    <row r="28" spans="2:13">
      <c r="B28" s="132">
        <v>20</v>
      </c>
      <c r="C28" s="132" t="s">
        <v>68</v>
      </c>
      <c r="D28" s="133">
        <f t="shared" si="3"/>
        <v>22499</v>
      </c>
      <c r="E28" s="132"/>
      <c r="F28" s="135">
        <v>0.14879999999999999</v>
      </c>
      <c r="G28" s="132">
        <v>2000</v>
      </c>
      <c r="H28" s="132">
        <v>1</v>
      </c>
      <c r="I28" s="134">
        <v>1.07</v>
      </c>
      <c r="J28" s="134">
        <v>0.5</v>
      </c>
      <c r="K28" s="69" t="s">
        <v>83</v>
      </c>
      <c r="L28" s="138">
        <f t="shared" si="4"/>
        <v>0.14879999999999999</v>
      </c>
      <c r="M28" s="139">
        <f t="shared" si="5"/>
        <v>1070</v>
      </c>
    </row>
    <row r="29" spans="2:13">
      <c r="B29" s="132">
        <v>21</v>
      </c>
      <c r="C29" s="132" t="s">
        <v>60</v>
      </c>
      <c r="D29" s="133">
        <f>37.8*L29*0.4*10000+7000</f>
        <v>18143</v>
      </c>
      <c r="E29" s="132">
        <v>7000</v>
      </c>
      <c r="F29" s="135">
        <v>7.3700000000000002E-2</v>
      </c>
      <c r="G29" s="132">
        <v>800</v>
      </c>
      <c r="H29" s="132">
        <v>1</v>
      </c>
      <c r="I29" s="134">
        <v>1.02</v>
      </c>
      <c r="J29" s="134">
        <v>0.65</v>
      </c>
      <c r="K29" s="69" t="s">
        <v>82</v>
      </c>
      <c r="L29" s="138">
        <f t="shared" si="4"/>
        <v>7.3700000000000002E-2</v>
      </c>
      <c r="M29" s="139">
        <f t="shared" si="5"/>
        <v>530</v>
      </c>
    </row>
    <row r="30" spans="2:13">
      <c r="B30" s="132">
        <v>22</v>
      </c>
      <c r="C30" s="132" t="s">
        <v>69</v>
      </c>
      <c r="D30" s="133">
        <f t="shared" si="3"/>
        <v>6305</v>
      </c>
      <c r="E30" s="132"/>
      <c r="F30" s="135">
        <v>4.1700000000000001E-2</v>
      </c>
      <c r="G30" s="132">
        <v>600</v>
      </c>
      <c r="H30" s="132">
        <v>1</v>
      </c>
      <c r="I30" s="134">
        <v>1</v>
      </c>
      <c r="J30" s="134">
        <v>0.5</v>
      </c>
      <c r="K30" s="69" t="s">
        <v>84</v>
      </c>
      <c r="L30" s="138">
        <f t="shared" si="4"/>
        <v>4.1700000000000001E-2</v>
      </c>
      <c r="M30" s="139">
        <f t="shared" si="5"/>
        <v>300</v>
      </c>
    </row>
    <row r="31" spans="2:13">
      <c r="B31" s="132">
        <v>23</v>
      </c>
      <c r="C31" s="132" t="s">
        <v>61</v>
      </c>
      <c r="D31" s="133">
        <f t="shared" si="3"/>
        <v>1255</v>
      </c>
      <c r="E31" s="132"/>
      <c r="F31" s="135">
        <v>8.3000000000000001E-3</v>
      </c>
      <c r="G31" s="132">
        <v>90</v>
      </c>
      <c r="H31" s="132">
        <v>1</v>
      </c>
      <c r="I31" s="134">
        <v>1.03</v>
      </c>
      <c r="J31" s="134">
        <v>0.65</v>
      </c>
      <c r="K31" s="69" t="s">
        <v>82</v>
      </c>
      <c r="L31" s="138">
        <f t="shared" si="4"/>
        <v>8.3000000000000001E-3</v>
      </c>
      <c r="M31" s="139">
        <f t="shared" si="5"/>
        <v>60</v>
      </c>
    </row>
    <row r="32" spans="2:13">
      <c r="B32" s="132">
        <v>24</v>
      </c>
      <c r="C32" s="132" t="s">
        <v>74</v>
      </c>
      <c r="D32" s="133">
        <f t="shared" si="3"/>
        <v>11839</v>
      </c>
      <c r="E32" s="132"/>
      <c r="F32" s="135">
        <v>7.8299999999999995E-2</v>
      </c>
      <c r="G32" s="132">
        <v>1125</v>
      </c>
      <c r="H32" s="132">
        <v>0.58799999999999997</v>
      </c>
      <c r="I32" s="134">
        <v>1</v>
      </c>
      <c r="J32" s="134">
        <v>0.5</v>
      </c>
      <c r="K32" s="69" t="s">
        <v>84</v>
      </c>
      <c r="L32" s="138">
        <f t="shared" si="4"/>
        <v>7.8299999999999995E-2</v>
      </c>
      <c r="M32" s="139">
        <f t="shared" si="5"/>
        <v>563</v>
      </c>
    </row>
    <row r="33" spans="2:13">
      <c r="B33" s="132">
        <v>25</v>
      </c>
      <c r="C33" s="132" t="s">
        <v>75</v>
      </c>
      <c r="D33" s="133">
        <f>37.8*L33*0.4*10000+7000</f>
        <v>16752</v>
      </c>
      <c r="E33" s="132">
        <v>7000</v>
      </c>
      <c r="F33" s="135">
        <v>6.4500000000000002E-2</v>
      </c>
      <c r="G33" s="132">
        <v>900</v>
      </c>
      <c r="H33" s="132">
        <v>1</v>
      </c>
      <c r="I33" s="134">
        <v>1.03</v>
      </c>
      <c r="J33" s="134">
        <v>0.5</v>
      </c>
      <c r="K33" s="69" t="s">
        <v>84</v>
      </c>
      <c r="L33" s="138">
        <f t="shared" si="4"/>
        <v>6.4500000000000002E-2</v>
      </c>
      <c r="M33" s="139">
        <f t="shared" si="5"/>
        <v>464</v>
      </c>
    </row>
    <row r="34" spans="2:13">
      <c r="B34" s="132">
        <v>26</v>
      </c>
      <c r="C34" s="132" t="s">
        <v>76</v>
      </c>
      <c r="D34" s="133">
        <f t="shared" si="3"/>
        <v>5322</v>
      </c>
      <c r="E34" s="132"/>
      <c r="F34" s="135">
        <v>3.5200000000000002E-2</v>
      </c>
      <c r="G34" s="132">
        <v>500</v>
      </c>
      <c r="H34" s="132">
        <v>1</v>
      </c>
      <c r="I34" s="134">
        <v>1.01</v>
      </c>
      <c r="J34" s="134">
        <v>0.5</v>
      </c>
      <c r="K34" s="69" t="s">
        <v>84</v>
      </c>
      <c r="L34" s="138">
        <f t="shared" si="4"/>
        <v>3.5200000000000002E-2</v>
      </c>
      <c r="M34" s="139">
        <f t="shared" si="5"/>
        <v>253</v>
      </c>
    </row>
    <row r="35" spans="2:13">
      <c r="B35" s="132">
        <v>27</v>
      </c>
      <c r="C35" s="132" t="s">
        <v>77</v>
      </c>
      <c r="D35" s="133">
        <f t="shared" si="3"/>
        <v>5322</v>
      </c>
      <c r="E35" s="132"/>
      <c r="F35" s="135">
        <v>3.5200000000000002E-2</v>
      </c>
      <c r="G35" s="132">
        <v>500</v>
      </c>
      <c r="H35" s="132">
        <v>1</v>
      </c>
      <c r="I35" s="134">
        <v>1.01</v>
      </c>
      <c r="J35" s="134">
        <v>0.5</v>
      </c>
      <c r="K35" s="69" t="s">
        <v>84</v>
      </c>
      <c r="L35" s="138">
        <f t="shared" si="4"/>
        <v>3.5200000000000002E-2</v>
      </c>
      <c r="M35" s="139">
        <f t="shared" si="5"/>
        <v>253</v>
      </c>
    </row>
    <row r="36" spans="2:13">
      <c r="B36" s="132">
        <v>28</v>
      </c>
      <c r="C36" s="132" t="s">
        <v>78</v>
      </c>
      <c r="D36" s="133">
        <f t="shared" si="3"/>
        <v>9647</v>
      </c>
      <c r="E36" s="132"/>
      <c r="F36" s="135">
        <v>6.3799999999999996E-2</v>
      </c>
      <c r="G36" s="132">
        <v>900</v>
      </c>
      <c r="H36" s="132">
        <v>0.77</v>
      </c>
      <c r="I36" s="134">
        <v>1.02</v>
      </c>
      <c r="J36" s="134">
        <v>0.5</v>
      </c>
      <c r="K36" s="69" t="s">
        <v>84</v>
      </c>
      <c r="L36" s="138">
        <f t="shared" si="4"/>
        <v>6.3799999999999996E-2</v>
      </c>
      <c r="M36" s="139">
        <f t="shared" si="5"/>
        <v>459</v>
      </c>
    </row>
    <row r="37" spans="2:13">
      <c r="B37" s="132">
        <v>29</v>
      </c>
      <c r="C37" s="132" t="s">
        <v>146</v>
      </c>
      <c r="D37" s="133">
        <f t="shared" si="3"/>
        <v>1467</v>
      </c>
      <c r="E37" s="132"/>
      <c r="F37" s="135">
        <v>9.7000000000000003E-3</v>
      </c>
      <c r="G37" s="132">
        <v>140</v>
      </c>
      <c r="H37" s="132">
        <v>1</v>
      </c>
      <c r="I37" s="134">
        <v>1</v>
      </c>
      <c r="J37" s="134">
        <v>0.5</v>
      </c>
      <c r="K37" s="69" t="s">
        <v>84</v>
      </c>
      <c r="L37" s="138">
        <f t="shared" si="4"/>
        <v>9.7000000000000003E-3</v>
      </c>
      <c r="M37" s="139">
        <f t="shared" si="5"/>
        <v>70</v>
      </c>
    </row>
    <row r="38" spans="2:13">
      <c r="B38" s="132"/>
      <c r="C38" s="132" t="s">
        <v>141</v>
      </c>
      <c r="D38" s="133">
        <f>SUM(D21:D37)</f>
        <v>172155</v>
      </c>
      <c r="E38" s="132"/>
      <c r="F38" s="134"/>
      <c r="G38" s="132">
        <v>12815</v>
      </c>
      <c r="H38" s="132"/>
      <c r="I38" s="132"/>
      <c r="J38" s="132"/>
      <c r="K38" s="132"/>
      <c r="M38" s="139">
        <f>SUM(M21:M37)</f>
        <v>7189</v>
      </c>
    </row>
  </sheetData>
  <mergeCells count="3">
    <mergeCell ref="B2:K2"/>
    <mergeCell ref="B6:K6"/>
    <mergeCell ref="B20:K20"/>
  </mergeCells>
  <phoneticPr fontId="62" type="noConversion"/>
  <pageMargins left="0.7" right="0.7" top="0.75" bottom="0.75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D5" sqref="D5"/>
    </sheetView>
  </sheetViews>
  <sheetFormatPr defaultColWidth="9" defaultRowHeight="17.399999999999999"/>
  <cols>
    <col min="1" max="1" width="6.33203125" style="65" customWidth="1"/>
    <col min="2" max="2" width="14.109375" style="66" customWidth="1"/>
    <col min="3" max="4" width="13.44140625" style="67" customWidth="1"/>
    <col min="5" max="5" width="10.21875" style="67" customWidth="1"/>
    <col min="6" max="6" width="19.21875" style="66" customWidth="1"/>
    <col min="7" max="7" width="12.77734375" style="66" customWidth="1"/>
    <col min="8" max="8" width="16.6640625" style="68" customWidth="1"/>
    <col min="9" max="9" width="10.33203125" style="66" customWidth="1"/>
    <col min="10" max="10" width="11.6640625" style="67" customWidth="1"/>
    <col min="11" max="11" width="8.77734375" style="66"/>
    <col min="12" max="12" width="10.33203125" style="6" customWidth="1"/>
    <col min="13" max="13" width="14.44140625" style="7" customWidth="1"/>
    <col min="14" max="15" width="11.33203125" customWidth="1"/>
    <col min="16" max="16" width="12.44140625" style="6" customWidth="1"/>
    <col min="17" max="17" width="10.21875" style="6" customWidth="1"/>
    <col min="18" max="18" width="9.21875" style="6" customWidth="1"/>
    <col min="19" max="19" width="12.21875" customWidth="1"/>
  </cols>
  <sheetData>
    <row r="1" spans="1:20">
      <c r="A1" s="69"/>
      <c r="B1" s="69"/>
      <c r="C1" s="69"/>
      <c r="D1" s="69"/>
      <c r="E1" s="69" t="s">
        <v>147</v>
      </c>
      <c r="F1" s="69"/>
      <c r="G1" s="69"/>
      <c r="H1" s="70"/>
      <c r="I1" s="69"/>
      <c r="J1" s="69"/>
      <c r="K1" s="69"/>
      <c r="L1" s="88"/>
      <c r="M1" s="89"/>
    </row>
    <row r="2" spans="1:20" ht="46.5" customHeight="1">
      <c r="A2" s="69" t="s">
        <v>1</v>
      </c>
      <c r="B2" s="71" t="s">
        <v>2</v>
      </c>
      <c r="C2" s="71" t="s">
        <v>3</v>
      </c>
      <c r="D2" s="71" t="s">
        <v>148</v>
      </c>
      <c r="E2" s="72" t="s">
        <v>42</v>
      </c>
      <c r="F2" s="71" t="s">
        <v>43</v>
      </c>
      <c r="G2" s="73" t="s">
        <v>149</v>
      </c>
      <c r="H2" s="74" t="s">
        <v>150</v>
      </c>
      <c r="I2" s="71" t="s">
        <v>45</v>
      </c>
      <c r="J2" s="90" t="s">
        <v>4</v>
      </c>
      <c r="K2" s="69" t="s">
        <v>81</v>
      </c>
      <c r="L2" s="91"/>
      <c r="M2" s="91"/>
      <c r="P2" s="12" t="s">
        <v>151</v>
      </c>
      <c r="Q2" s="12" t="s">
        <v>152</v>
      </c>
      <c r="R2" s="12" t="s">
        <v>153</v>
      </c>
      <c r="S2" s="12" t="s">
        <v>154</v>
      </c>
    </row>
    <row r="3" spans="1:20" ht="19.2" customHeight="1">
      <c r="A3" s="69"/>
      <c r="B3" s="71" t="s">
        <v>155</v>
      </c>
      <c r="C3" s="75">
        <f>C17+C36</f>
        <v>390016</v>
      </c>
      <c r="D3" s="75">
        <f>D17+D36</f>
        <v>420016</v>
      </c>
      <c r="E3" s="72">
        <f>SUM(E5:E35)</f>
        <v>3.0101</v>
      </c>
      <c r="F3" s="69">
        <f>F17+F36</f>
        <v>24330</v>
      </c>
      <c r="G3" s="69"/>
      <c r="H3" s="70"/>
      <c r="I3" s="69"/>
      <c r="J3" s="90"/>
      <c r="K3" s="69"/>
      <c r="L3" s="92"/>
      <c r="M3" s="92"/>
      <c r="P3" s="42">
        <f>SUM(P18:P35)</f>
        <v>7031</v>
      </c>
      <c r="Q3" s="19">
        <f>P3*I3*R3</f>
        <v>0</v>
      </c>
      <c r="R3" s="18"/>
      <c r="S3" s="43">
        <f>SUM(S5:S35)</f>
        <v>0.80700000000000005</v>
      </c>
    </row>
    <row r="4" spans="1:20" ht="19.2" customHeight="1">
      <c r="A4" s="69"/>
      <c r="B4" s="551" t="s">
        <v>156</v>
      </c>
      <c r="C4" s="552"/>
      <c r="D4" s="552"/>
      <c r="E4" s="552"/>
      <c r="F4" s="552"/>
      <c r="G4" s="552"/>
      <c r="H4" s="552"/>
      <c r="I4" s="552"/>
      <c r="J4" s="552"/>
      <c r="K4" s="552"/>
      <c r="L4" s="93"/>
      <c r="M4" s="94"/>
      <c r="P4" s="42"/>
      <c r="Q4" s="19"/>
      <c r="R4" s="18"/>
      <c r="S4" s="43"/>
    </row>
    <row r="5" spans="1:20" s="63" customFormat="1" ht="15.6">
      <c r="A5" s="69">
        <v>1</v>
      </c>
      <c r="B5" s="71" t="s">
        <v>157</v>
      </c>
      <c r="C5" s="75">
        <f>E5*23.4*10000</f>
        <v>3276</v>
      </c>
      <c r="D5" s="75">
        <v>3276</v>
      </c>
      <c r="E5" s="72">
        <f>M5/6492</f>
        <v>1.4E-2</v>
      </c>
      <c r="F5" s="71">
        <v>140</v>
      </c>
      <c r="G5" s="71">
        <v>1</v>
      </c>
      <c r="H5" s="70">
        <v>0</v>
      </c>
      <c r="I5" s="95">
        <v>1</v>
      </c>
      <c r="J5" s="90">
        <v>0.65</v>
      </c>
      <c r="K5" s="69" t="s">
        <v>82</v>
      </c>
      <c r="L5" s="96"/>
      <c r="M5" s="97">
        <f>F5*J5*I5*G5</f>
        <v>91</v>
      </c>
      <c r="O5" s="98">
        <f t="shared" ref="O5:O16" si="0">F5*J5</f>
        <v>91</v>
      </c>
      <c r="P5" s="99">
        <f t="shared" ref="P5:P16" si="1">O5*I5*Q5</f>
        <v>73</v>
      </c>
      <c r="Q5" s="29">
        <v>0.8</v>
      </c>
      <c r="R5" s="113">
        <v>1399</v>
      </c>
      <c r="S5" s="114">
        <v>1E-3</v>
      </c>
      <c r="T5" s="115">
        <f>S5+1</f>
        <v>1.0009999999999999</v>
      </c>
    </row>
    <row r="6" spans="1:20" s="63" customFormat="1" ht="15.6">
      <c r="A6" s="69">
        <v>2</v>
      </c>
      <c r="B6" s="71" t="s">
        <v>158</v>
      </c>
      <c r="C6" s="75">
        <f t="shared" ref="C6:C16" si="2">E6*23.4*10000</f>
        <v>2925</v>
      </c>
      <c r="D6" s="75">
        <v>2925</v>
      </c>
      <c r="E6" s="72">
        <f t="shared" ref="E6:E17" si="3">M6/6492</f>
        <v>1.2500000000000001E-2</v>
      </c>
      <c r="F6" s="71">
        <v>125</v>
      </c>
      <c r="G6" s="71">
        <v>1</v>
      </c>
      <c r="H6" s="70">
        <v>0</v>
      </c>
      <c r="I6" s="95">
        <v>1</v>
      </c>
      <c r="J6" s="90">
        <v>0.65</v>
      </c>
      <c r="K6" s="69" t="s">
        <v>144</v>
      </c>
      <c r="L6" s="96"/>
      <c r="M6" s="97">
        <f t="shared" ref="M6:M16" si="4">F6*J6*I6*G6</f>
        <v>81</v>
      </c>
      <c r="O6" s="98">
        <f t="shared" si="0"/>
        <v>81</v>
      </c>
      <c r="P6" s="99">
        <f t="shared" si="1"/>
        <v>65</v>
      </c>
      <c r="Q6" s="29">
        <v>0.8</v>
      </c>
      <c r="R6" s="113">
        <v>982</v>
      </c>
      <c r="S6" s="114">
        <v>2.5000000000000001E-3</v>
      </c>
      <c r="T6" s="115">
        <f t="shared" ref="T6:T35" si="5">S6+1</f>
        <v>1.0024999999999999</v>
      </c>
    </row>
    <row r="7" spans="1:20" s="64" customFormat="1" ht="15.6">
      <c r="A7" s="69">
        <v>3</v>
      </c>
      <c r="B7" s="76" t="s">
        <v>159</v>
      </c>
      <c r="C7" s="75">
        <f t="shared" si="2"/>
        <v>48742</v>
      </c>
      <c r="D7" s="77">
        <f>C7+5000</f>
        <v>53742</v>
      </c>
      <c r="E7" s="72">
        <f t="shared" si="3"/>
        <v>0.20830000000000001</v>
      </c>
      <c r="F7" s="78">
        <v>2000</v>
      </c>
      <c r="G7" s="71">
        <v>1</v>
      </c>
      <c r="H7" s="79">
        <v>0.05</v>
      </c>
      <c r="I7" s="95">
        <v>1.04</v>
      </c>
      <c r="J7" s="90">
        <v>0.65</v>
      </c>
      <c r="K7" s="83" t="s">
        <v>82</v>
      </c>
      <c r="L7" s="100"/>
      <c r="M7" s="97">
        <f t="shared" si="4"/>
        <v>1352</v>
      </c>
      <c r="O7" s="101">
        <f t="shared" si="0"/>
        <v>1300</v>
      </c>
      <c r="P7" s="99">
        <f t="shared" si="1"/>
        <v>1352</v>
      </c>
      <c r="Q7" s="116">
        <v>1</v>
      </c>
      <c r="R7" s="117">
        <v>30477</v>
      </c>
      <c r="S7" s="118">
        <v>3.5299999999999998E-2</v>
      </c>
      <c r="T7" s="115">
        <f t="shared" si="5"/>
        <v>1.0353000000000001</v>
      </c>
    </row>
    <row r="8" spans="1:20">
      <c r="A8" s="69">
        <v>4</v>
      </c>
      <c r="B8" s="71" t="s">
        <v>160</v>
      </c>
      <c r="C8" s="80">
        <f>15.6*E8*10000</f>
        <v>1482</v>
      </c>
      <c r="D8" s="80">
        <v>1482</v>
      </c>
      <c r="E8" s="72">
        <f>M8/6840</f>
        <v>9.4999999999999998E-3</v>
      </c>
      <c r="F8" s="71">
        <v>100</v>
      </c>
      <c r="G8" s="78">
        <v>1</v>
      </c>
      <c r="H8" s="70">
        <v>0</v>
      </c>
      <c r="I8" s="95">
        <v>1</v>
      </c>
      <c r="J8" s="90">
        <v>0.65</v>
      </c>
      <c r="K8" s="69" t="s">
        <v>82</v>
      </c>
      <c r="M8" s="102">
        <f>F8*I8*J8*G8</f>
        <v>65</v>
      </c>
      <c r="N8" s="103"/>
      <c r="O8" s="42">
        <f t="shared" si="0"/>
        <v>65</v>
      </c>
      <c r="P8" s="19">
        <f t="shared" si="1"/>
        <v>52</v>
      </c>
      <c r="Q8" s="18">
        <v>0.8</v>
      </c>
      <c r="R8" s="43">
        <v>0</v>
      </c>
      <c r="S8" s="44">
        <v>4.0000000000000002E-4</v>
      </c>
      <c r="T8" s="45">
        <f t="shared" si="5"/>
        <v>1.0004</v>
      </c>
    </row>
    <row r="9" spans="1:20" s="3" customFormat="1" ht="15.6">
      <c r="A9" s="69">
        <v>5</v>
      </c>
      <c r="B9" s="71" t="s">
        <v>161</v>
      </c>
      <c r="C9" s="75">
        <f t="shared" si="2"/>
        <v>17480</v>
      </c>
      <c r="D9" s="75">
        <v>17480</v>
      </c>
      <c r="E9" s="72">
        <f t="shared" si="3"/>
        <v>7.4700000000000003E-2</v>
      </c>
      <c r="F9" s="71">
        <v>950</v>
      </c>
      <c r="G9" s="71">
        <v>1</v>
      </c>
      <c r="H9" s="70">
        <v>0.03</v>
      </c>
      <c r="I9" s="95">
        <v>1.02</v>
      </c>
      <c r="J9" s="90">
        <v>0.5</v>
      </c>
      <c r="K9" s="69" t="s">
        <v>83</v>
      </c>
      <c r="L9" s="104"/>
      <c r="M9" s="97">
        <f t="shared" si="4"/>
        <v>485</v>
      </c>
      <c r="O9" s="55">
        <f t="shared" si="0"/>
        <v>475</v>
      </c>
      <c r="P9" s="19">
        <f t="shared" si="1"/>
        <v>485</v>
      </c>
      <c r="Q9" s="54">
        <v>1</v>
      </c>
      <c r="R9" s="43">
        <v>34704</v>
      </c>
      <c r="S9" s="56">
        <v>2.0899999999999998E-2</v>
      </c>
      <c r="T9" s="45">
        <f t="shared" ref="T9:T16" si="6">S9+1</f>
        <v>1.0208999999999999</v>
      </c>
    </row>
    <row r="10" spans="1:20" ht="15.6">
      <c r="A10" s="69">
        <v>6</v>
      </c>
      <c r="B10" s="81" t="s">
        <v>162</v>
      </c>
      <c r="C10" s="75">
        <f t="shared" si="2"/>
        <v>14695</v>
      </c>
      <c r="D10" s="77">
        <f>C10+5000</f>
        <v>19695</v>
      </c>
      <c r="E10" s="72">
        <f t="shared" si="3"/>
        <v>6.2799999999999995E-2</v>
      </c>
      <c r="F10" s="71">
        <v>800</v>
      </c>
      <c r="G10" s="71">
        <v>1</v>
      </c>
      <c r="H10" s="70">
        <v>0.02</v>
      </c>
      <c r="I10" s="95">
        <v>1.02</v>
      </c>
      <c r="J10" s="90">
        <v>0.5</v>
      </c>
      <c r="K10" s="69" t="s">
        <v>83</v>
      </c>
      <c r="L10" s="92"/>
      <c r="M10" s="97">
        <f t="shared" si="4"/>
        <v>408</v>
      </c>
      <c r="O10" s="42">
        <f t="shared" si="0"/>
        <v>400</v>
      </c>
      <c r="P10" s="19">
        <f t="shared" si="1"/>
        <v>408</v>
      </c>
      <c r="Q10" s="18">
        <v>1</v>
      </c>
      <c r="R10" s="43">
        <v>53172</v>
      </c>
      <c r="S10" s="44">
        <v>1.7100000000000001E-2</v>
      </c>
      <c r="T10" s="45">
        <f t="shared" si="6"/>
        <v>1.0170999999999999</v>
      </c>
    </row>
    <row r="11" spans="1:20" ht="15.6">
      <c r="A11" s="69">
        <v>7</v>
      </c>
      <c r="B11" s="71" t="s">
        <v>163</v>
      </c>
      <c r="C11" s="75">
        <f t="shared" si="2"/>
        <v>19469</v>
      </c>
      <c r="D11" s="75">
        <v>19469</v>
      </c>
      <c r="E11" s="72">
        <f t="shared" si="3"/>
        <v>8.3199999999999996E-2</v>
      </c>
      <c r="F11" s="71">
        <v>1000</v>
      </c>
      <c r="G11" s="71">
        <v>1</v>
      </c>
      <c r="H11" s="70">
        <v>0.1</v>
      </c>
      <c r="I11" s="95">
        <v>1.08</v>
      </c>
      <c r="J11" s="90">
        <v>0.5</v>
      </c>
      <c r="K11" s="69" t="s">
        <v>83</v>
      </c>
      <c r="L11" s="92"/>
      <c r="M11" s="97">
        <f t="shared" si="4"/>
        <v>540</v>
      </c>
      <c r="O11" s="42">
        <f t="shared" si="0"/>
        <v>500</v>
      </c>
      <c r="P11" s="19">
        <f t="shared" si="1"/>
        <v>540</v>
      </c>
      <c r="Q11" s="18">
        <v>1</v>
      </c>
      <c r="R11" s="43">
        <v>18953</v>
      </c>
      <c r="S11" s="44">
        <v>7.8100000000000003E-2</v>
      </c>
      <c r="T11" s="45">
        <f t="shared" si="6"/>
        <v>1.0781000000000001</v>
      </c>
    </row>
    <row r="12" spans="1:20" ht="15.6">
      <c r="A12" s="69">
        <v>8</v>
      </c>
      <c r="B12" s="71" t="s">
        <v>164</v>
      </c>
      <c r="C12" s="75">
        <f t="shared" si="2"/>
        <v>62174</v>
      </c>
      <c r="D12" s="75">
        <v>62174</v>
      </c>
      <c r="E12" s="72">
        <f t="shared" si="3"/>
        <v>0.26569999999999999</v>
      </c>
      <c r="F12" s="71">
        <v>3000</v>
      </c>
      <c r="G12" s="71">
        <v>1</v>
      </c>
      <c r="H12" s="70">
        <v>0.2</v>
      </c>
      <c r="I12" s="95">
        <v>1.1499999999999999</v>
      </c>
      <c r="J12" s="90">
        <v>0.5</v>
      </c>
      <c r="K12" s="69" t="s">
        <v>83</v>
      </c>
      <c r="L12" s="92"/>
      <c r="M12" s="97">
        <f t="shared" si="4"/>
        <v>1725</v>
      </c>
      <c r="O12" s="42">
        <f t="shared" si="0"/>
        <v>1500</v>
      </c>
      <c r="P12" s="19">
        <f t="shared" si="1"/>
        <v>1725</v>
      </c>
      <c r="Q12" s="18">
        <v>1</v>
      </c>
      <c r="R12" s="43">
        <v>56500</v>
      </c>
      <c r="S12" s="44">
        <v>0.15440000000000001</v>
      </c>
      <c r="T12" s="45">
        <f t="shared" si="6"/>
        <v>1.1544000000000001</v>
      </c>
    </row>
    <row r="13" spans="1:20" ht="15.6">
      <c r="A13" s="69">
        <v>9</v>
      </c>
      <c r="B13" s="71" t="s">
        <v>165</v>
      </c>
      <c r="C13" s="75">
        <f t="shared" si="2"/>
        <v>7488</v>
      </c>
      <c r="D13" s="75">
        <v>7488</v>
      </c>
      <c r="E13" s="72">
        <f t="shared" si="3"/>
        <v>3.2000000000000001E-2</v>
      </c>
      <c r="F13" s="71">
        <v>400</v>
      </c>
      <c r="G13" s="71">
        <v>1</v>
      </c>
      <c r="H13" s="70">
        <v>0.03</v>
      </c>
      <c r="I13" s="95">
        <v>1.04</v>
      </c>
      <c r="J13" s="105">
        <v>0.5</v>
      </c>
      <c r="K13" s="69" t="s">
        <v>84</v>
      </c>
      <c r="L13" s="92"/>
      <c r="M13" s="97">
        <f t="shared" si="4"/>
        <v>208</v>
      </c>
      <c r="O13" s="42">
        <f t="shared" si="0"/>
        <v>200</v>
      </c>
      <c r="P13" s="19">
        <f t="shared" si="1"/>
        <v>250</v>
      </c>
      <c r="Q13" s="18">
        <v>1.2</v>
      </c>
      <c r="R13" s="43">
        <v>11664</v>
      </c>
      <c r="S13" s="44">
        <v>3.6499999999999998E-2</v>
      </c>
      <c r="T13" s="45">
        <f t="shared" si="6"/>
        <v>1.0365</v>
      </c>
    </row>
    <row r="14" spans="1:20" ht="15.6">
      <c r="A14" s="69">
        <v>10</v>
      </c>
      <c r="B14" s="81" t="s">
        <v>166</v>
      </c>
      <c r="C14" s="75">
        <f t="shared" si="2"/>
        <v>33743</v>
      </c>
      <c r="D14" s="77">
        <f>C14+5000</f>
        <v>38743</v>
      </c>
      <c r="E14" s="72">
        <f t="shared" si="3"/>
        <v>0.14419999999999999</v>
      </c>
      <c r="F14" s="71">
        <v>1800</v>
      </c>
      <c r="G14" s="71">
        <v>1</v>
      </c>
      <c r="H14" s="70">
        <v>0.05</v>
      </c>
      <c r="I14" s="95">
        <v>1.04</v>
      </c>
      <c r="J14" s="105">
        <v>0.5</v>
      </c>
      <c r="K14" s="69" t="s">
        <v>84</v>
      </c>
      <c r="L14" s="92"/>
      <c r="M14" s="97">
        <f t="shared" si="4"/>
        <v>936</v>
      </c>
      <c r="O14" s="42">
        <f t="shared" si="0"/>
        <v>900</v>
      </c>
      <c r="P14" s="19">
        <f t="shared" si="1"/>
        <v>1123</v>
      </c>
      <c r="Q14" s="18">
        <v>1.2</v>
      </c>
      <c r="R14" s="43">
        <v>60770</v>
      </c>
      <c r="S14" s="44">
        <v>4.2599999999999999E-2</v>
      </c>
      <c r="T14" s="45">
        <f t="shared" si="6"/>
        <v>1.0426</v>
      </c>
    </row>
    <row r="15" spans="1:20" ht="15.6">
      <c r="A15" s="69">
        <v>11</v>
      </c>
      <c r="B15" s="71" t="s">
        <v>167</v>
      </c>
      <c r="C15" s="75">
        <f t="shared" si="2"/>
        <v>11138</v>
      </c>
      <c r="D15" s="75">
        <v>11138</v>
      </c>
      <c r="E15" s="72">
        <f t="shared" si="3"/>
        <v>4.7600000000000003E-2</v>
      </c>
      <c r="F15" s="71">
        <v>600</v>
      </c>
      <c r="G15" s="71">
        <v>1</v>
      </c>
      <c r="H15" s="70">
        <v>0.05</v>
      </c>
      <c r="I15" s="95">
        <v>1.03</v>
      </c>
      <c r="J15" s="105">
        <v>0.5</v>
      </c>
      <c r="K15" s="69" t="s">
        <v>84</v>
      </c>
      <c r="L15" s="92"/>
      <c r="M15" s="97">
        <f t="shared" si="4"/>
        <v>309</v>
      </c>
      <c r="O15" s="42">
        <f t="shared" si="0"/>
        <v>300</v>
      </c>
      <c r="P15" s="19">
        <f t="shared" si="1"/>
        <v>371</v>
      </c>
      <c r="Q15" s="18">
        <v>1.2</v>
      </c>
      <c r="R15" s="43">
        <v>33034</v>
      </c>
      <c r="S15" s="44">
        <v>2.98E-2</v>
      </c>
      <c r="T15" s="45">
        <f t="shared" si="6"/>
        <v>1.0298</v>
      </c>
    </row>
    <row r="16" spans="1:20" ht="15.6">
      <c r="A16" s="69">
        <v>12</v>
      </c>
      <c r="B16" s="71" t="s">
        <v>168</v>
      </c>
      <c r="C16" s="75">
        <f t="shared" si="2"/>
        <v>12870</v>
      </c>
      <c r="D16" s="75">
        <v>12870</v>
      </c>
      <c r="E16" s="72">
        <f t="shared" si="3"/>
        <v>5.5E-2</v>
      </c>
      <c r="F16" s="71">
        <v>700</v>
      </c>
      <c r="G16" s="71">
        <v>1</v>
      </c>
      <c r="H16" s="70">
        <v>0.04</v>
      </c>
      <c r="I16" s="95">
        <v>1.02</v>
      </c>
      <c r="J16" s="105">
        <v>0.5</v>
      </c>
      <c r="K16" s="69" t="s">
        <v>84</v>
      </c>
      <c r="L16" s="92"/>
      <c r="M16" s="97">
        <f t="shared" si="4"/>
        <v>357</v>
      </c>
      <c r="O16" s="42">
        <f t="shared" si="0"/>
        <v>350</v>
      </c>
      <c r="P16" s="19">
        <f t="shared" si="1"/>
        <v>428</v>
      </c>
      <c r="Q16" s="18">
        <v>1.2</v>
      </c>
      <c r="R16" s="43">
        <v>42182</v>
      </c>
      <c r="S16" s="44">
        <v>2.1100000000000001E-2</v>
      </c>
      <c r="T16" s="45">
        <f t="shared" si="6"/>
        <v>1.0210999999999999</v>
      </c>
    </row>
    <row r="17" spans="1:21" ht="15.6">
      <c r="A17" s="69"/>
      <c r="B17" s="71" t="s">
        <v>169</v>
      </c>
      <c r="C17" s="75">
        <f>SUM(C5:C16)</f>
        <v>235482</v>
      </c>
      <c r="D17" s="75">
        <f>SUM(D5:D16)</f>
        <v>250482</v>
      </c>
      <c r="E17" s="82">
        <f t="shared" si="3"/>
        <v>1.01</v>
      </c>
      <c r="F17" s="71">
        <f>SUM(F5:F16)</f>
        <v>11615</v>
      </c>
      <c r="G17" s="71"/>
      <c r="H17" s="70"/>
      <c r="I17" s="95"/>
      <c r="J17" s="105"/>
      <c r="K17" s="69"/>
      <c r="L17" s="92"/>
      <c r="M17" s="97">
        <f>SUM(M5:M16)</f>
        <v>6557</v>
      </c>
      <c r="O17" s="42"/>
      <c r="P17" s="19"/>
      <c r="Q17" s="18"/>
      <c r="R17" s="43"/>
      <c r="S17" s="44"/>
      <c r="T17" s="45"/>
    </row>
    <row r="18" spans="1:21" ht="15.6">
      <c r="A18" s="69"/>
      <c r="B18" s="551" t="s">
        <v>170</v>
      </c>
      <c r="C18" s="552"/>
      <c r="D18" s="552"/>
      <c r="E18" s="552"/>
      <c r="F18" s="552"/>
      <c r="G18" s="552"/>
      <c r="H18" s="552"/>
      <c r="I18" s="552"/>
      <c r="J18" s="552"/>
      <c r="K18" s="552"/>
      <c r="L18" s="106"/>
      <c r="M18" s="106"/>
      <c r="N18" s="107"/>
      <c r="O18" s="108"/>
      <c r="P18" s="42"/>
      <c r="Q18" s="19"/>
      <c r="R18" s="18"/>
      <c r="S18" s="43"/>
      <c r="T18" s="44"/>
      <c r="U18" s="45"/>
    </row>
    <row r="19" spans="1:21" s="1" customFormat="1" ht="15.6">
      <c r="A19" s="83">
        <v>13</v>
      </c>
      <c r="B19" s="78" t="s">
        <v>171</v>
      </c>
      <c r="C19" s="80">
        <f>15.6*E19*10000</f>
        <v>8986</v>
      </c>
      <c r="D19" s="80">
        <v>8986</v>
      </c>
      <c r="E19" s="72">
        <f>M19/6840</f>
        <v>5.7599999999999998E-2</v>
      </c>
      <c r="F19" s="78">
        <v>600</v>
      </c>
      <c r="G19" s="78">
        <v>1</v>
      </c>
      <c r="H19" s="79">
        <v>0.02</v>
      </c>
      <c r="I19" s="95">
        <v>1.01</v>
      </c>
      <c r="J19" s="90">
        <v>0.65</v>
      </c>
      <c r="K19" s="83" t="s">
        <v>83</v>
      </c>
      <c r="M19" s="102">
        <f>F19*I19*J19*G19</f>
        <v>394</v>
      </c>
      <c r="N19" s="103"/>
      <c r="O19" s="47">
        <f t="shared" ref="O19:O35" si="7">F19*J19</f>
        <v>390</v>
      </c>
      <c r="P19" s="19">
        <f t="shared" ref="P19:P35" si="8">O19*I19*Q19</f>
        <v>394</v>
      </c>
      <c r="Q19" s="48">
        <v>1</v>
      </c>
      <c r="R19" s="49">
        <v>21490</v>
      </c>
      <c r="S19" s="50">
        <v>1.4500000000000001E-2</v>
      </c>
      <c r="T19" s="45">
        <f t="shared" si="5"/>
        <v>1.0145</v>
      </c>
    </row>
    <row r="20" spans="1:21">
      <c r="A20" s="83">
        <v>14</v>
      </c>
      <c r="B20" s="71" t="s">
        <v>172</v>
      </c>
      <c r="C20" s="80">
        <f t="shared" ref="C20:C35" si="9">15.6*E20*10000</f>
        <v>4103</v>
      </c>
      <c r="D20" s="80">
        <v>4103</v>
      </c>
      <c r="E20" s="72">
        <f t="shared" ref="E20:E35" si="10">M20/6840</f>
        <v>2.63E-2</v>
      </c>
      <c r="F20" s="71">
        <v>360</v>
      </c>
      <c r="G20" s="78">
        <v>1</v>
      </c>
      <c r="H20" s="70">
        <v>0</v>
      </c>
      <c r="I20" s="95">
        <v>1</v>
      </c>
      <c r="J20" s="105">
        <v>0.5</v>
      </c>
      <c r="K20" s="69" t="s">
        <v>84</v>
      </c>
      <c r="M20" s="102">
        <f t="shared" ref="M20:M35" si="11">F20*I20*J20*G20</f>
        <v>180</v>
      </c>
      <c r="N20" s="103"/>
      <c r="O20" s="42">
        <f t="shared" si="7"/>
        <v>180</v>
      </c>
      <c r="P20" s="19">
        <f t="shared" si="8"/>
        <v>216</v>
      </c>
      <c r="Q20" s="18">
        <v>1.2</v>
      </c>
      <c r="R20" s="43">
        <v>5141</v>
      </c>
      <c r="S20" s="44">
        <v>2.5000000000000001E-3</v>
      </c>
      <c r="T20" s="45">
        <f t="shared" si="5"/>
        <v>1.0024999999999999</v>
      </c>
    </row>
    <row r="21" spans="1:21" s="1" customFormat="1" ht="15.6">
      <c r="A21" s="83">
        <v>15</v>
      </c>
      <c r="B21" s="76" t="s">
        <v>173</v>
      </c>
      <c r="C21" s="80">
        <f t="shared" si="9"/>
        <v>2948</v>
      </c>
      <c r="D21" s="84">
        <f>C21+5000</f>
        <v>7948</v>
      </c>
      <c r="E21" s="72">
        <f t="shared" si="10"/>
        <v>1.89E-2</v>
      </c>
      <c r="F21" s="78">
        <v>500</v>
      </c>
      <c r="G21" s="78">
        <v>1</v>
      </c>
      <c r="H21" s="79">
        <v>0.04</v>
      </c>
      <c r="I21" s="95">
        <v>1.03</v>
      </c>
      <c r="J21" s="105">
        <v>0.25</v>
      </c>
      <c r="K21" s="83" t="s">
        <v>85</v>
      </c>
      <c r="M21" s="102">
        <f t="shared" si="11"/>
        <v>129</v>
      </c>
      <c r="N21" s="103"/>
      <c r="O21" s="47">
        <f t="shared" si="7"/>
        <v>125</v>
      </c>
      <c r="P21" s="19">
        <f t="shared" si="8"/>
        <v>103</v>
      </c>
      <c r="Q21" s="48">
        <v>0.8</v>
      </c>
      <c r="R21" s="49">
        <v>31750</v>
      </c>
      <c r="S21" s="50">
        <v>3.4799999999999998E-2</v>
      </c>
      <c r="T21" s="45">
        <f t="shared" si="5"/>
        <v>1.0347999999999999</v>
      </c>
    </row>
    <row r="22" spans="1:21">
      <c r="A22" s="83">
        <v>16</v>
      </c>
      <c r="B22" s="71" t="s">
        <v>174</v>
      </c>
      <c r="C22" s="80">
        <f t="shared" si="9"/>
        <v>1139</v>
      </c>
      <c r="D22" s="80">
        <v>1139</v>
      </c>
      <c r="E22" s="72">
        <f t="shared" si="10"/>
        <v>7.3000000000000001E-3</v>
      </c>
      <c r="F22" s="71">
        <v>200</v>
      </c>
      <c r="G22" s="78">
        <v>1</v>
      </c>
      <c r="H22" s="70">
        <v>0.01</v>
      </c>
      <c r="I22" s="95">
        <v>1</v>
      </c>
      <c r="J22" s="105">
        <v>0.25</v>
      </c>
      <c r="K22" s="69" t="s">
        <v>85</v>
      </c>
      <c r="M22" s="102">
        <f t="shared" si="11"/>
        <v>50</v>
      </c>
      <c r="N22" s="103"/>
      <c r="O22" s="42">
        <f t="shared" si="7"/>
        <v>50</v>
      </c>
      <c r="P22" s="19">
        <f t="shared" si="8"/>
        <v>50</v>
      </c>
      <c r="Q22" s="18">
        <v>1</v>
      </c>
      <c r="R22" s="43">
        <v>0</v>
      </c>
      <c r="S22" s="44">
        <v>4.4999999999999997E-3</v>
      </c>
      <c r="T22" s="45">
        <f t="shared" si="5"/>
        <v>1.0044999999999999</v>
      </c>
    </row>
    <row r="23" spans="1:21">
      <c r="A23" s="83">
        <v>17</v>
      </c>
      <c r="B23" s="71" t="s">
        <v>175</v>
      </c>
      <c r="C23" s="80">
        <f t="shared" si="9"/>
        <v>1716</v>
      </c>
      <c r="D23" s="80">
        <v>1716</v>
      </c>
      <c r="E23" s="72">
        <f t="shared" si="10"/>
        <v>1.0999999999999999E-2</v>
      </c>
      <c r="F23" s="71">
        <v>300</v>
      </c>
      <c r="G23" s="78">
        <v>1</v>
      </c>
      <c r="H23" s="70">
        <v>0</v>
      </c>
      <c r="I23" s="95">
        <v>1</v>
      </c>
      <c r="J23" s="105">
        <v>0.25</v>
      </c>
      <c r="K23" s="69" t="s">
        <v>85</v>
      </c>
      <c r="M23" s="102">
        <f t="shared" si="11"/>
        <v>75</v>
      </c>
      <c r="N23" s="103"/>
      <c r="O23" s="42">
        <f t="shared" si="7"/>
        <v>75</v>
      </c>
      <c r="P23" s="19">
        <f t="shared" si="8"/>
        <v>75</v>
      </c>
      <c r="Q23" s="18">
        <v>1</v>
      </c>
      <c r="R23" s="43">
        <v>1718</v>
      </c>
      <c r="S23" s="44">
        <v>2.5000000000000001E-3</v>
      </c>
      <c r="T23" s="45">
        <f t="shared" si="5"/>
        <v>1.0024999999999999</v>
      </c>
    </row>
    <row r="24" spans="1:21">
      <c r="A24" s="83">
        <v>18</v>
      </c>
      <c r="B24" s="71" t="s">
        <v>176</v>
      </c>
      <c r="C24" s="80">
        <f t="shared" si="9"/>
        <v>9173</v>
      </c>
      <c r="D24" s="80">
        <v>9173</v>
      </c>
      <c r="E24" s="72">
        <f t="shared" si="10"/>
        <v>5.8799999999999998E-2</v>
      </c>
      <c r="F24" s="71">
        <v>600</v>
      </c>
      <c r="G24" s="78">
        <v>1</v>
      </c>
      <c r="H24" s="70">
        <v>0.04</v>
      </c>
      <c r="I24" s="95">
        <v>1.03</v>
      </c>
      <c r="J24" s="90">
        <v>0.65</v>
      </c>
      <c r="K24" s="69" t="s">
        <v>82</v>
      </c>
      <c r="M24" s="102">
        <f t="shared" si="11"/>
        <v>402</v>
      </c>
      <c r="N24" s="103"/>
      <c r="O24" s="42">
        <f t="shared" si="7"/>
        <v>390</v>
      </c>
      <c r="P24" s="19">
        <f t="shared" si="8"/>
        <v>321</v>
      </c>
      <c r="Q24" s="18">
        <v>0.8</v>
      </c>
      <c r="R24" s="53">
        <v>19061</v>
      </c>
      <c r="S24" s="44">
        <v>2.7699999999999999E-2</v>
      </c>
      <c r="T24" s="45">
        <f t="shared" si="5"/>
        <v>1.0277000000000001</v>
      </c>
    </row>
    <row r="25" spans="1:21" s="1" customFormat="1" ht="15.6">
      <c r="A25" s="83">
        <v>19</v>
      </c>
      <c r="B25" s="78" t="s">
        <v>177</v>
      </c>
      <c r="C25" s="80">
        <f t="shared" si="9"/>
        <v>42791</v>
      </c>
      <c r="D25" s="80">
        <v>42791</v>
      </c>
      <c r="E25" s="72">
        <f t="shared" si="10"/>
        <v>0.27429999999999999</v>
      </c>
      <c r="F25" s="78">
        <v>2600</v>
      </c>
      <c r="G25" s="78">
        <v>1</v>
      </c>
      <c r="H25" s="79">
        <v>0.14000000000000001</v>
      </c>
      <c r="I25" s="109">
        <v>1.1100000000000001</v>
      </c>
      <c r="J25" s="105">
        <v>0.65</v>
      </c>
      <c r="K25" s="83" t="s">
        <v>82</v>
      </c>
      <c r="M25" s="102">
        <f t="shared" si="11"/>
        <v>1876</v>
      </c>
      <c r="N25" s="110"/>
      <c r="O25" s="47">
        <f t="shared" si="7"/>
        <v>1690</v>
      </c>
      <c r="P25" s="24">
        <f t="shared" si="8"/>
        <v>1501</v>
      </c>
      <c r="Q25" s="48">
        <v>0.8</v>
      </c>
      <c r="R25" s="49">
        <v>31964</v>
      </c>
      <c r="S25" s="50">
        <v>0.115</v>
      </c>
      <c r="T25" s="119">
        <f t="shared" si="5"/>
        <v>1.115</v>
      </c>
    </row>
    <row r="26" spans="1:21">
      <c r="A26" s="83">
        <v>20</v>
      </c>
      <c r="B26" s="71" t="s">
        <v>178</v>
      </c>
      <c r="C26" s="80">
        <f t="shared" si="9"/>
        <v>23946</v>
      </c>
      <c r="D26" s="80">
        <v>23946</v>
      </c>
      <c r="E26" s="72">
        <f t="shared" si="10"/>
        <v>0.1535</v>
      </c>
      <c r="F26" s="71">
        <v>2000</v>
      </c>
      <c r="G26" s="78">
        <v>1</v>
      </c>
      <c r="H26" s="70">
        <v>7.0000000000000007E-2</v>
      </c>
      <c r="I26" s="95">
        <v>1.05</v>
      </c>
      <c r="J26" s="90">
        <v>0.5</v>
      </c>
      <c r="K26" s="69" t="s">
        <v>83</v>
      </c>
      <c r="M26" s="102">
        <f t="shared" si="11"/>
        <v>1050</v>
      </c>
      <c r="N26" s="103"/>
      <c r="O26" s="42">
        <f t="shared" si="7"/>
        <v>1000</v>
      </c>
      <c r="P26" s="19">
        <f t="shared" si="8"/>
        <v>1050</v>
      </c>
      <c r="Q26" s="18">
        <v>1</v>
      </c>
      <c r="R26" s="43">
        <v>25236</v>
      </c>
      <c r="S26" s="44">
        <v>5.3499999999999999E-2</v>
      </c>
      <c r="T26" s="45">
        <f t="shared" si="5"/>
        <v>1.0535000000000001</v>
      </c>
    </row>
    <row r="27" spans="1:21">
      <c r="A27" s="83">
        <v>21</v>
      </c>
      <c r="B27" s="81" t="s">
        <v>179</v>
      </c>
      <c r="C27" s="80">
        <f t="shared" si="9"/>
        <v>12090</v>
      </c>
      <c r="D27" s="84">
        <f>C27+5000</f>
        <v>17090</v>
      </c>
      <c r="E27" s="72">
        <f t="shared" si="10"/>
        <v>7.7499999999999999E-2</v>
      </c>
      <c r="F27" s="71">
        <v>800</v>
      </c>
      <c r="G27" s="78">
        <v>1</v>
      </c>
      <c r="H27" s="70">
        <v>0.02</v>
      </c>
      <c r="I27" s="95">
        <v>1.02</v>
      </c>
      <c r="J27" s="90">
        <v>0.65</v>
      </c>
      <c r="K27" s="69" t="s">
        <v>82</v>
      </c>
      <c r="M27" s="102">
        <f t="shared" si="11"/>
        <v>530</v>
      </c>
      <c r="N27" s="103"/>
      <c r="O27" s="42">
        <f t="shared" si="7"/>
        <v>520</v>
      </c>
      <c r="P27" s="19">
        <f t="shared" si="8"/>
        <v>424</v>
      </c>
      <c r="Q27" s="18">
        <v>0.8</v>
      </c>
      <c r="R27" s="43">
        <v>3000</v>
      </c>
      <c r="S27" s="44">
        <v>1.8700000000000001E-2</v>
      </c>
      <c r="T27" s="45">
        <f t="shared" si="5"/>
        <v>1.0186999999999999</v>
      </c>
    </row>
    <row r="28" spans="1:21">
      <c r="A28" s="83">
        <v>22</v>
      </c>
      <c r="B28" s="71" t="s">
        <v>180</v>
      </c>
      <c r="C28" s="80">
        <f t="shared" si="9"/>
        <v>7051</v>
      </c>
      <c r="D28" s="80">
        <v>7051</v>
      </c>
      <c r="E28" s="72">
        <f t="shared" si="10"/>
        <v>4.5199999999999997E-2</v>
      </c>
      <c r="F28" s="71">
        <v>600</v>
      </c>
      <c r="G28" s="78">
        <v>1</v>
      </c>
      <c r="H28" s="70">
        <v>0</v>
      </c>
      <c r="I28" s="95">
        <v>1.03</v>
      </c>
      <c r="J28" s="105">
        <v>0.5</v>
      </c>
      <c r="K28" s="69" t="s">
        <v>84</v>
      </c>
      <c r="M28" s="102">
        <f t="shared" si="11"/>
        <v>309</v>
      </c>
      <c r="N28" s="103"/>
      <c r="O28" s="42">
        <f t="shared" si="7"/>
        <v>300</v>
      </c>
      <c r="P28" s="19">
        <f t="shared" si="8"/>
        <v>371</v>
      </c>
      <c r="Q28" s="18">
        <v>1.2</v>
      </c>
      <c r="R28" s="43">
        <v>9845</v>
      </c>
      <c r="S28" s="44">
        <v>2.7199999999999998E-2</v>
      </c>
      <c r="T28" s="45">
        <f t="shared" si="5"/>
        <v>1.0271999999999999</v>
      </c>
    </row>
    <row r="29" spans="1:21">
      <c r="A29" s="83">
        <v>23</v>
      </c>
      <c r="B29" s="71" t="s">
        <v>181</v>
      </c>
      <c r="C29" s="80">
        <f t="shared" si="9"/>
        <v>1342</v>
      </c>
      <c r="D29" s="80">
        <v>1342</v>
      </c>
      <c r="E29" s="72">
        <f t="shared" si="10"/>
        <v>8.6E-3</v>
      </c>
      <c r="F29" s="71">
        <v>90</v>
      </c>
      <c r="G29" s="78">
        <v>1</v>
      </c>
      <c r="H29" s="70">
        <v>0.03</v>
      </c>
      <c r="I29" s="95">
        <v>1</v>
      </c>
      <c r="J29" s="90">
        <v>0.65</v>
      </c>
      <c r="K29" s="69" t="s">
        <v>82</v>
      </c>
      <c r="M29" s="102">
        <f t="shared" si="11"/>
        <v>59</v>
      </c>
      <c r="N29" s="103"/>
      <c r="O29" s="42">
        <f t="shared" si="7"/>
        <v>59</v>
      </c>
      <c r="P29" s="19">
        <f t="shared" si="8"/>
        <v>59</v>
      </c>
      <c r="Q29" s="18">
        <v>1</v>
      </c>
      <c r="R29" s="43">
        <v>14800</v>
      </c>
      <c r="S29" s="44">
        <v>3.3E-3</v>
      </c>
      <c r="T29" s="45">
        <f t="shared" si="5"/>
        <v>1.0033000000000001</v>
      </c>
    </row>
    <row r="30" spans="1:21">
      <c r="A30" s="83">
        <v>24</v>
      </c>
      <c r="B30" s="71" t="s">
        <v>182</v>
      </c>
      <c r="C30" s="80">
        <f t="shared" si="9"/>
        <v>7550</v>
      </c>
      <c r="D30" s="80">
        <v>7550</v>
      </c>
      <c r="E30" s="72">
        <f t="shared" si="10"/>
        <v>4.8399999999999999E-2</v>
      </c>
      <c r="F30" s="71">
        <v>1125</v>
      </c>
      <c r="G30" s="78">
        <v>0.58799999999999997</v>
      </c>
      <c r="H30" s="70">
        <v>0</v>
      </c>
      <c r="I30" s="95">
        <v>1</v>
      </c>
      <c r="J30" s="105">
        <v>0.5</v>
      </c>
      <c r="K30" s="69" t="s">
        <v>84</v>
      </c>
      <c r="M30" s="102">
        <f t="shared" si="11"/>
        <v>331</v>
      </c>
      <c r="N30" s="103"/>
      <c r="O30" s="42">
        <f t="shared" si="7"/>
        <v>563</v>
      </c>
      <c r="P30" s="19">
        <f t="shared" si="8"/>
        <v>676</v>
      </c>
      <c r="Q30" s="18">
        <v>1.2</v>
      </c>
      <c r="R30" s="43">
        <v>12798</v>
      </c>
      <c r="S30" s="44">
        <v>3.8E-3</v>
      </c>
      <c r="T30" s="45">
        <f t="shared" si="5"/>
        <v>1.0038</v>
      </c>
    </row>
    <row r="31" spans="1:21">
      <c r="A31" s="83">
        <v>25</v>
      </c>
      <c r="B31" s="81" t="s">
        <v>183</v>
      </c>
      <c r="C31" s="80">
        <f t="shared" si="9"/>
        <v>10577</v>
      </c>
      <c r="D31" s="84">
        <f>C31+5000</f>
        <v>15577</v>
      </c>
      <c r="E31" s="72">
        <f t="shared" si="10"/>
        <v>6.7799999999999999E-2</v>
      </c>
      <c r="F31" s="71">
        <v>900</v>
      </c>
      <c r="G31" s="78">
        <v>1</v>
      </c>
      <c r="H31" s="70">
        <v>0.03</v>
      </c>
      <c r="I31" s="95">
        <v>1.03</v>
      </c>
      <c r="J31" s="105">
        <v>0.5</v>
      </c>
      <c r="K31" s="69" t="s">
        <v>84</v>
      </c>
      <c r="M31" s="102">
        <f t="shared" si="11"/>
        <v>464</v>
      </c>
      <c r="N31" s="103"/>
      <c r="O31" s="42">
        <f t="shared" si="7"/>
        <v>450</v>
      </c>
      <c r="P31" s="19">
        <f t="shared" si="8"/>
        <v>556</v>
      </c>
      <c r="Q31" s="18">
        <v>1.2</v>
      </c>
      <c r="R31" s="43">
        <v>26553</v>
      </c>
      <c r="S31" s="44">
        <v>2.6700000000000002E-2</v>
      </c>
      <c r="T31" s="45">
        <f t="shared" si="5"/>
        <v>1.0266999999999999</v>
      </c>
    </row>
    <row r="32" spans="1:21">
      <c r="A32" s="83">
        <v>26</v>
      </c>
      <c r="B32" s="71" t="s">
        <v>184</v>
      </c>
      <c r="C32" s="80">
        <f t="shared" si="9"/>
        <v>5772</v>
      </c>
      <c r="D32" s="80">
        <v>5772</v>
      </c>
      <c r="E32" s="72">
        <f t="shared" si="10"/>
        <v>3.6999999999999998E-2</v>
      </c>
      <c r="F32" s="71">
        <v>500</v>
      </c>
      <c r="G32" s="78">
        <v>1</v>
      </c>
      <c r="H32" s="70">
        <v>0.01</v>
      </c>
      <c r="I32" s="95">
        <v>1.01</v>
      </c>
      <c r="J32" s="105">
        <v>0.5</v>
      </c>
      <c r="K32" s="69" t="s">
        <v>84</v>
      </c>
      <c r="M32" s="102">
        <f t="shared" si="11"/>
        <v>253</v>
      </c>
      <c r="N32" s="103"/>
      <c r="O32" s="42">
        <f t="shared" si="7"/>
        <v>250</v>
      </c>
      <c r="P32" s="19">
        <f t="shared" si="8"/>
        <v>303</v>
      </c>
      <c r="Q32" s="18">
        <v>1.2</v>
      </c>
      <c r="R32" s="43">
        <v>7390</v>
      </c>
      <c r="S32" s="44">
        <v>8.0000000000000002E-3</v>
      </c>
      <c r="T32" s="45">
        <f t="shared" si="5"/>
        <v>1.008</v>
      </c>
    </row>
    <row r="33" spans="1:20">
      <c r="A33" s="83">
        <v>27</v>
      </c>
      <c r="B33" s="71" t="s">
        <v>185</v>
      </c>
      <c r="C33" s="80">
        <f t="shared" si="9"/>
        <v>5772</v>
      </c>
      <c r="D33" s="80">
        <v>5772</v>
      </c>
      <c r="E33" s="72">
        <f t="shared" si="10"/>
        <v>3.6999999999999998E-2</v>
      </c>
      <c r="F33" s="71">
        <v>500</v>
      </c>
      <c r="G33" s="78">
        <v>1</v>
      </c>
      <c r="H33" s="70">
        <v>0.01</v>
      </c>
      <c r="I33" s="95">
        <v>1.01</v>
      </c>
      <c r="J33" s="105">
        <v>0.5</v>
      </c>
      <c r="K33" s="69" t="s">
        <v>84</v>
      </c>
      <c r="M33" s="102">
        <f t="shared" si="11"/>
        <v>253</v>
      </c>
      <c r="N33" s="103"/>
      <c r="O33" s="42">
        <f t="shared" si="7"/>
        <v>250</v>
      </c>
      <c r="P33" s="19">
        <f t="shared" si="8"/>
        <v>303</v>
      </c>
      <c r="Q33" s="18">
        <v>1.2</v>
      </c>
      <c r="R33" s="43">
        <v>14500</v>
      </c>
      <c r="S33" s="44">
        <v>0.01</v>
      </c>
      <c r="T33" s="45">
        <f t="shared" si="5"/>
        <v>1.01</v>
      </c>
    </row>
    <row r="34" spans="1:20">
      <c r="A34" s="83">
        <v>28</v>
      </c>
      <c r="B34" s="71" t="s">
        <v>186</v>
      </c>
      <c r="C34" s="80">
        <f t="shared" si="9"/>
        <v>7987</v>
      </c>
      <c r="D34" s="80">
        <v>7987</v>
      </c>
      <c r="E34" s="72">
        <f t="shared" si="10"/>
        <v>5.1200000000000002E-2</v>
      </c>
      <c r="F34" s="71">
        <v>900</v>
      </c>
      <c r="G34" s="78">
        <v>0.77</v>
      </c>
      <c r="H34" s="70">
        <v>0.02</v>
      </c>
      <c r="I34" s="95">
        <v>1.01</v>
      </c>
      <c r="J34" s="105">
        <v>0.5</v>
      </c>
      <c r="K34" s="69" t="s">
        <v>84</v>
      </c>
      <c r="M34" s="102">
        <f t="shared" si="11"/>
        <v>350</v>
      </c>
      <c r="N34" s="103"/>
      <c r="O34" s="42">
        <f t="shared" si="7"/>
        <v>450</v>
      </c>
      <c r="P34" s="19">
        <f t="shared" si="8"/>
        <v>545</v>
      </c>
      <c r="Q34" s="18">
        <v>1.2</v>
      </c>
      <c r="R34" s="43">
        <v>7068</v>
      </c>
      <c r="S34" s="44">
        <v>1.43E-2</v>
      </c>
      <c r="T34" s="45">
        <f t="shared" si="5"/>
        <v>1.0143</v>
      </c>
    </row>
    <row r="35" spans="1:20" ht="31.2">
      <c r="A35" s="83">
        <v>29</v>
      </c>
      <c r="B35" s="71" t="s">
        <v>187</v>
      </c>
      <c r="C35" s="80">
        <f t="shared" si="9"/>
        <v>1591</v>
      </c>
      <c r="D35" s="80">
        <v>1591</v>
      </c>
      <c r="E35" s="72">
        <f t="shared" si="10"/>
        <v>1.0200000000000001E-2</v>
      </c>
      <c r="F35" s="71">
        <v>140</v>
      </c>
      <c r="G35" s="78">
        <v>1</v>
      </c>
      <c r="H35" s="70">
        <v>0</v>
      </c>
      <c r="I35" s="95">
        <v>1</v>
      </c>
      <c r="J35" s="105">
        <v>0.5</v>
      </c>
      <c r="K35" s="69" t="s">
        <v>84</v>
      </c>
      <c r="M35" s="102">
        <f t="shared" si="11"/>
        <v>70</v>
      </c>
      <c r="N35" s="103"/>
      <c r="O35" s="42">
        <f t="shared" si="7"/>
        <v>70</v>
      </c>
      <c r="P35" s="19">
        <f t="shared" si="8"/>
        <v>84</v>
      </c>
      <c r="Q35" s="18">
        <v>1.2</v>
      </c>
      <c r="R35" s="43">
        <v>1649</v>
      </c>
      <c r="S35" s="44">
        <v>2.9999999999999997E-4</v>
      </c>
      <c r="T35" s="45">
        <f t="shared" si="5"/>
        <v>1.0003</v>
      </c>
    </row>
    <row r="36" spans="1:20">
      <c r="A36" s="83"/>
      <c r="B36" s="71" t="s">
        <v>188</v>
      </c>
      <c r="C36" s="85">
        <f>SUM(C19:C35)</f>
        <v>154534</v>
      </c>
      <c r="D36" s="86">
        <f>SUM(D19:D35)</f>
        <v>169534</v>
      </c>
      <c r="E36" s="87">
        <f>SUM(E19:E35)</f>
        <v>0.99099999999999999</v>
      </c>
      <c r="F36" s="69">
        <f>SUM(F19:F35)</f>
        <v>12715</v>
      </c>
      <c r="G36" s="69"/>
      <c r="H36" s="70"/>
      <c r="I36" s="69"/>
      <c r="J36" s="69"/>
      <c r="K36" s="69"/>
      <c r="L36" s="111"/>
      <c r="M36" s="112">
        <f>SUM(M19:M35)</f>
        <v>6775</v>
      </c>
      <c r="N36" s="107"/>
      <c r="O36" s="107">
        <f>SUM(O19:O35)</f>
        <v>6812</v>
      </c>
    </row>
  </sheetData>
  <mergeCells count="2">
    <mergeCell ref="B4:K4"/>
    <mergeCell ref="B18:K18"/>
  </mergeCells>
  <phoneticPr fontId="62" type="noConversion"/>
  <pageMargins left="0.7" right="0.7" top="0.75" bottom="0.75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topLeftCell="A2" workbookViewId="0">
      <selection activeCell="F9" sqref="F9"/>
    </sheetView>
  </sheetViews>
  <sheetFormatPr defaultColWidth="9" defaultRowHeight="17.399999999999999"/>
  <cols>
    <col min="1" max="1" width="6.33203125" style="5" customWidth="1"/>
    <col min="2" max="2" width="14.109375" style="6" customWidth="1"/>
    <col min="3" max="3" width="13.44140625" style="6" customWidth="1"/>
    <col min="4" max="4" width="10.21875" style="6" customWidth="1"/>
    <col min="5" max="5" width="10.77734375" style="6" customWidth="1"/>
    <col min="6" max="7" width="10.33203125" style="6" customWidth="1"/>
    <col min="8" max="8" width="11.6640625" style="7" customWidth="1"/>
    <col min="9" max="9" width="8.77734375" style="6"/>
    <col min="11" max="11" width="12.44140625" style="6" customWidth="1"/>
    <col min="12" max="12" width="10.21875" style="6" customWidth="1"/>
    <col min="13" max="13" width="9.21875" style="6" customWidth="1"/>
    <col min="14" max="14" width="12.21875" customWidth="1"/>
  </cols>
  <sheetData>
    <row r="1" spans="1:16">
      <c r="B1" s="8"/>
      <c r="C1" s="8"/>
      <c r="D1" s="8" t="s">
        <v>147</v>
      </c>
      <c r="E1" s="8"/>
      <c r="G1" s="8"/>
      <c r="H1" s="9"/>
      <c r="I1" s="8"/>
    </row>
    <row r="2" spans="1:16" ht="81" customHeight="1">
      <c r="A2" s="10"/>
      <c r="B2" s="11" t="s">
        <v>189</v>
      </c>
      <c r="C2" s="12" t="s">
        <v>3</v>
      </c>
      <c r="D2" s="13" t="s">
        <v>42</v>
      </c>
      <c r="E2" s="12" t="s">
        <v>190</v>
      </c>
      <c r="F2" s="12" t="s">
        <v>150</v>
      </c>
      <c r="G2" s="12" t="s">
        <v>45</v>
      </c>
      <c r="H2" s="14" t="s">
        <v>4</v>
      </c>
      <c r="I2" s="41" t="s">
        <v>81</v>
      </c>
      <c r="K2" s="12" t="s">
        <v>151</v>
      </c>
      <c r="L2" s="12" t="s">
        <v>152</v>
      </c>
      <c r="M2" s="12" t="s">
        <v>153</v>
      </c>
      <c r="N2" s="12" t="s">
        <v>154</v>
      </c>
    </row>
    <row r="3" spans="1:16" ht="19.2" customHeight="1">
      <c r="A3" s="10"/>
      <c r="B3" s="11" t="s">
        <v>191</v>
      </c>
      <c r="C3" s="15">
        <v>600000</v>
      </c>
      <c r="D3" s="16">
        <f>SUM(D4:D35)</f>
        <v>1.2819</v>
      </c>
      <c r="E3" s="17">
        <f>SUM(E4:E35)</f>
        <v>25168</v>
      </c>
      <c r="F3" s="18"/>
      <c r="G3" s="18"/>
      <c r="H3" s="14"/>
      <c r="I3" s="18"/>
      <c r="K3" s="42">
        <f>SUM(K4:K35)</f>
        <v>12974</v>
      </c>
      <c r="L3" s="19">
        <f t="shared" ref="L3:L35" si="0">K3*G3*M3</f>
        <v>0</v>
      </c>
      <c r="M3" s="18"/>
      <c r="N3" s="43">
        <f>SUM(N4:N35)</f>
        <v>600000</v>
      </c>
    </row>
    <row r="4" spans="1:16" ht="14.4">
      <c r="A4" s="10">
        <v>1</v>
      </c>
      <c r="B4" s="11" t="s">
        <v>192</v>
      </c>
      <c r="C4" s="19">
        <f t="shared" ref="C4:C12" si="1">42*D4*10000</f>
        <v>2814</v>
      </c>
      <c r="D4" s="16">
        <f t="shared" ref="D4:D12" si="2">L4/10844</f>
        <v>6.7000000000000002E-3</v>
      </c>
      <c r="E4" s="11">
        <v>140</v>
      </c>
      <c r="F4" s="20">
        <v>0</v>
      </c>
      <c r="G4" s="21">
        <v>1</v>
      </c>
      <c r="H4" s="14">
        <v>0.65</v>
      </c>
      <c r="I4" s="18" t="s">
        <v>193</v>
      </c>
      <c r="K4" s="42">
        <f t="shared" ref="K4:K12" si="3">E4*H4</f>
        <v>91</v>
      </c>
      <c r="L4" s="19">
        <f t="shared" si="0"/>
        <v>73</v>
      </c>
      <c r="M4" s="18">
        <v>0.8</v>
      </c>
      <c r="N4" s="43">
        <v>1399</v>
      </c>
      <c r="O4" s="44">
        <v>1E-3</v>
      </c>
      <c r="P4" s="45">
        <f>O4+1</f>
        <v>1.0009999999999999</v>
      </c>
    </row>
    <row r="5" spans="1:16" ht="14.4">
      <c r="A5" s="10">
        <v>2</v>
      </c>
      <c r="B5" s="11" t="s">
        <v>194</v>
      </c>
      <c r="C5" s="19">
        <f t="shared" si="1"/>
        <v>2520</v>
      </c>
      <c r="D5" s="16">
        <f t="shared" si="2"/>
        <v>6.0000000000000001E-3</v>
      </c>
      <c r="E5" s="11">
        <v>125</v>
      </c>
      <c r="F5" s="20">
        <v>0</v>
      </c>
      <c r="G5" s="21">
        <v>1</v>
      </c>
      <c r="H5" s="14">
        <v>0.65</v>
      </c>
      <c r="I5" s="18" t="s">
        <v>195</v>
      </c>
      <c r="K5" s="42">
        <f t="shared" si="3"/>
        <v>81</v>
      </c>
      <c r="L5" s="19">
        <f t="shared" si="0"/>
        <v>65</v>
      </c>
      <c r="M5" s="18">
        <v>0.8</v>
      </c>
      <c r="N5" s="43">
        <v>982</v>
      </c>
      <c r="O5" s="44">
        <v>2.5000000000000001E-3</v>
      </c>
      <c r="P5" s="45">
        <f t="shared" ref="P5:P35" si="4">O5+1</f>
        <v>1.0024999999999999</v>
      </c>
    </row>
    <row r="6" spans="1:16" s="1" customFormat="1" ht="14.4">
      <c r="A6" s="22">
        <v>3</v>
      </c>
      <c r="B6" s="23" t="s">
        <v>196</v>
      </c>
      <c r="C6" s="24">
        <f t="shared" si="1"/>
        <v>52374</v>
      </c>
      <c r="D6" s="25">
        <f t="shared" si="2"/>
        <v>0.12470000000000001</v>
      </c>
      <c r="E6" s="23">
        <v>2000</v>
      </c>
      <c r="F6" s="26">
        <v>0.05</v>
      </c>
      <c r="G6" s="21">
        <v>1.04</v>
      </c>
      <c r="H6" s="14">
        <v>0.65</v>
      </c>
      <c r="I6" s="46" t="s">
        <v>82</v>
      </c>
      <c r="K6" s="47">
        <f t="shared" si="3"/>
        <v>1300</v>
      </c>
      <c r="L6" s="19">
        <f t="shared" si="0"/>
        <v>1352</v>
      </c>
      <c r="M6" s="48">
        <v>1</v>
      </c>
      <c r="N6" s="49">
        <v>30477</v>
      </c>
      <c r="O6" s="50">
        <v>3.5299999999999998E-2</v>
      </c>
      <c r="P6" s="45">
        <f t="shared" si="4"/>
        <v>1.0353000000000001</v>
      </c>
    </row>
    <row r="7" spans="1:16" s="1" customFormat="1" ht="14.4">
      <c r="A7" s="22">
        <v>4</v>
      </c>
      <c r="B7" s="23" t="s">
        <v>197</v>
      </c>
      <c r="C7" s="24">
        <f t="shared" si="1"/>
        <v>15246</v>
      </c>
      <c r="D7" s="25">
        <f t="shared" si="2"/>
        <v>3.6299999999999999E-2</v>
      </c>
      <c r="E7" s="23">
        <v>600</v>
      </c>
      <c r="F7" s="26">
        <v>0.02</v>
      </c>
      <c r="G7" s="21">
        <v>1.01</v>
      </c>
      <c r="H7" s="14">
        <v>0.65</v>
      </c>
      <c r="I7" s="48" t="s">
        <v>198</v>
      </c>
      <c r="K7" s="47">
        <f t="shared" si="3"/>
        <v>390</v>
      </c>
      <c r="L7" s="19">
        <f t="shared" si="0"/>
        <v>394</v>
      </c>
      <c r="M7" s="48">
        <v>1</v>
      </c>
      <c r="N7" s="49">
        <v>21490</v>
      </c>
      <c r="O7" s="50">
        <v>1.4500000000000001E-2</v>
      </c>
      <c r="P7" s="45">
        <f t="shared" si="4"/>
        <v>1.0145</v>
      </c>
    </row>
    <row r="8" spans="1:16" ht="14.4">
      <c r="A8" s="10">
        <v>5</v>
      </c>
      <c r="B8" s="11" t="s">
        <v>199</v>
      </c>
      <c r="C8" s="24">
        <f t="shared" si="1"/>
        <v>8358</v>
      </c>
      <c r="D8" s="16">
        <f t="shared" si="2"/>
        <v>1.9900000000000001E-2</v>
      </c>
      <c r="E8" s="11">
        <v>360</v>
      </c>
      <c r="F8" s="20">
        <v>0</v>
      </c>
      <c r="G8" s="21">
        <v>1</v>
      </c>
      <c r="H8" s="27">
        <v>0.5</v>
      </c>
      <c r="I8" s="18" t="s">
        <v>200</v>
      </c>
      <c r="K8" s="42">
        <f t="shared" si="3"/>
        <v>180</v>
      </c>
      <c r="L8" s="19">
        <f t="shared" si="0"/>
        <v>216</v>
      </c>
      <c r="M8" s="18">
        <v>1.2</v>
      </c>
      <c r="N8" s="43">
        <v>5141</v>
      </c>
      <c r="O8" s="44">
        <v>2.5000000000000001E-3</v>
      </c>
      <c r="P8" s="45">
        <f t="shared" si="4"/>
        <v>1.0024999999999999</v>
      </c>
    </row>
    <row r="9" spans="1:16" s="1" customFormat="1" ht="14.4">
      <c r="A9" s="22">
        <v>6</v>
      </c>
      <c r="B9" s="23" t="s">
        <v>201</v>
      </c>
      <c r="C9" s="24">
        <f t="shared" si="1"/>
        <v>3990</v>
      </c>
      <c r="D9" s="25">
        <f t="shared" si="2"/>
        <v>9.4999999999999998E-3</v>
      </c>
      <c r="E9" s="23">
        <v>500</v>
      </c>
      <c r="F9" s="26">
        <v>0.04</v>
      </c>
      <c r="G9" s="21">
        <v>1.03</v>
      </c>
      <c r="H9" s="27">
        <v>0.25</v>
      </c>
      <c r="I9" s="46" t="s">
        <v>85</v>
      </c>
      <c r="K9" s="47">
        <f t="shared" si="3"/>
        <v>125</v>
      </c>
      <c r="L9" s="19">
        <f t="shared" si="0"/>
        <v>103</v>
      </c>
      <c r="M9" s="48">
        <v>0.8</v>
      </c>
      <c r="N9" s="49">
        <v>31750</v>
      </c>
      <c r="O9" s="50">
        <v>3.4799999999999998E-2</v>
      </c>
      <c r="P9" s="45">
        <f t="shared" si="4"/>
        <v>1.0347999999999999</v>
      </c>
    </row>
    <row r="10" spans="1:16" ht="14.4">
      <c r="A10" s="10">
        <v>7</v>
      </c>
      <c r="B10" s="11" t="s">
        <v>202</v>
      </c>
      <c r="C10" s="24">
        <f t="shared" si="1"/>
        <v>1932</v>
      </c>
      <c r="D10" s="16">
        <f t="shared" si="2"/>
        <v>4.5999999999999999E-3</v>
      </c>
      <c r="E10" s="11">
        <v>200</v>
      </c>
      <c r="F10" s="20">
        <v>0.01</v>
      </c>
      <c r="G10" s="21">
        <v>1</v>
      </c>
      <c r="H10" s="27">
        <v>0.25</v>
      </c>
      <c r="I10" s="41" t="s">
        <v>85</v>
      </c>
      <c r="K10" s="42">
        <f t="shared" si="3"/>
        <v>50</v>
      </c>
      <c r="L10" s="19">
        <f t="shared" si="0"/>
        <v>50</v>
      </c>
      <c r="M10" s="18">
        <v>1</v>
      </c>
      <c r="N10" s="43">
        <v>0</v>
      </c>
      <c r="O10" s="44">
        <v>4.4999999999999997E-3</v>
      </c>
      <c r="P10" s="45">
        <f t="shared" si="4"/>
        <v>1.0044999999999999</v>
      </c>
    </row>
    <row r="11" spans="1:16" ht="14.4">
      <c r="A11" s="10">
        <v>8</v>
      </c>
      <c r="B11" s="11" t="s">
        <v>203</v>
      </c>
      <c r="C11" s="24">
        <f t="shared" si="1"/>
        <v>2898</v>
      </c>
      <c r="D11" s="16">
        <f t="shared" si="2"/>
        <v>6.8999999999999999E-3</v>
      </c>
      <c r="E11" s="11">
        <v>300</v>
      </c>
      <c r="F11" s="20">
        <v>0</v>
      </c>
      <c r="G11" s="21">
        <v>1</v>
      </c>
      <c r="H11" s="27">
        <v>0.25</v>
      </c>
      <c r="I11" s="41" t="s">
        <v>85</v>
      </c>
      <c r="K11" s="42">
        <f t="shared" si="3"/>
        <v>75</v>
      </c>
      <c r="L11" s="19">
        <f t="shared" si="0"/>
        <v>75</v>
      </c>
      <c r="M11" s="18">
        <v>1</v>
      </c>
      <c r="N11" s="43">
        <v>1718</v>
      </c>
      <c r="O11" s="44">
        <v>2.5000000000000001E-3</v>
      </c>
      <c r="P11" s="45">
        <f t="shared" si="4"/>
        <v>1.0024999999999999</v>
      </c>
    </row>
    <row r="12" spans="1:16" ht="14.4">
      <c r="A12" s="10">
        <v>9</v>
      </c>
      <c r="B12" s="11" t="s">
        <v>204</v>
      </c>
      <c r="C12" s="24">
        <f t="shared" si="1"/>
        <v>2016</v>
      </c>
      <c r="D12" s="16">
        <f t="shared" si="2"/>
        <v>4.7999999999999996E-3</v>
      </c>
      <c r="E12" s="11">
        <v>100</v>
      </c>
      <c r="F12" s="20">
        <v>0</v>
      </c>
      <c r="G12" s="21">
        <v>1</v>
      </c>
      <c r="H12" s="14">
        <v>0.65</v>
      </c>
      <c r="I12" s="18" t="s">
        <v>193</v>
      </c>
      <c r="K12" s="42">
        <f t="shared" si="3"/>
        <v>65</v>
      </c>
      <c r="L12" s="19">
        <f t="shared" si="0"/>
        <v>52</v>
      </c>
      <c r="M12" s="18">
        <v>0.8</v>
      </c>
      <c r="N12" s="43">
        <v>0</v>
      </c>
      <c r="O12" s="44">
        <v>4.0000000000000002E-4</v>
      </c>
      <c r="P12" s="45">
        <f t="shared" si="4"/>
        <v>1.0004</v>
      </c>
    </row>
    <row r="13" spans="1:16" s="2" customFormat="1" ht="14.4">
      <c r="A13" s="10">
        <v>10</v>
      </c>
      <c r="B13" s="28" t="s">
        <v>205</v>
      </c>
      <c r="C13" s="29">
        <v>0</v>
      </c>
      <c r="D13" s="19">
        <v>0</v>
      </c>
      <c r="E13" s="29">
        <v>838</v>
      </c>
      <c r="F13" s="29" t="s">
        <v>206</v>
      </c>
      <c r="G13" s="21">
        <v>1.1299999999999999</v>
      </c>
      <c r="H13" s="30" t="s">
        <v>206</v>
      </c>
      <c r="I13" s="51" t="s">
        <v>82</v>
      </c>
      <c r="K13" s="29" t="s">
        <v>206</v>
      </c>
      <c r="L13" s="19" t="e">
        <f t="shared" si="0"/>
        <v>#VALUE!</v>
      </c>
      <c r="M13" s="29" t="s">
        <v>206</v>
      </c>
      <c r="N13" s="43">
        <v>300</v>
      </c>
      <c r="O13" s="52">
        <v>0.13150000000000001</v>
      </c>
      <c r="P13" s="45">
        <f t="shared" si="4"/>
        <v>1.1315</v>
      </c>
    </row>
    <row r="14" spans="1:16" s="2" customFormat="1" ht="14.4">
      <c r="A14" s="10">
        <v>11</v>
      </c>
      <c r="B14" s="28" t="s">
        <v>207</v>
      </c>
      <c r="C14" s="29">
        <v>0</v>
      </c>
      <c r="D14" s="19">
        <v>0</v>
      </c>
      <c r="E14" s="29">
        <v>0</v>
      </c>
      <c r="F14" s="29" t="s">
        <v>206</v>
      </c>
      <c r="G14" s="21">
        <v>1.05</v>
      </c>
      <c r="H14" s="30" t="s">
        <v>206</v>
      </c>
      <c r="I14" s="51" t="s">
        <v>82</v>
      </c>
      <c r="K14" s="29" t="s">
        <v>206</v>
      </c>
      <c r="L14" s="19" t="e">
        <f t="shared" si="0"/>
        <v>#VALUE!</v>
      </c>
      <c r="M14" s="29" t="s">
        <v>206</v>
      </c>
      <c r="N14" s="53">
        <v>21600</v>
      </c>
      <c r="O14" s="52">
        <v>5.4300000000000001E-2</v>
      </c>
      <c r="P14" s="45">
        <f t="shared" si="4"/>
        <v>1.0543</v>
      </c>
    </row>
    <row r="15" spans="1:16" s="3" customFormat="1" ht="14.4">
      <c r="A15" s="10">
        <v>12</v>
      </c>
      <c r="B15" s="11" t="s">
        <v>208</v>
      </c>
      <c r="C15" s="19">
        <f t="shared" ref="C15:C32" si="5">42*D15*10000</f>
        <v>18774</v>
      </c>
      <c r="D15" s="16">
        <f t="shared" ref="D15:D32" si="6">L15/10844</f>
        <v>4.4699999999999997E-2</v>
      </c>
      <c r="E15" s="11">
        <v>950</v>
      </c>
      <c r="F15" s="31">
        <v>0.03</v>
      </c>
      <c r="G15" s="21">
        <v>1.02</v>
      </c>
      <c r="H15" s="32">
        <v>0.5</v>
      </c>
      <c r="I15" s="54" t="s">
        <v>209</v>
      </c>
      <c r="K15" s="55">
        <f t="shared" ref="K15:K32" si="7">E15*H15</f>
        <v>475</v>
      </c>
      <c r="L15" s="19">
        <f t="shared" si="0"/>
        <v>485</v>
      </c>
      <c r="M15" s="54">
        <v>1</v>
      </c>
      <c r="N15" s="43">
        <v>34704</v>
      </c>
      <c r="O15" s="56">
        <v>2.0899999999999998E-2</v>
      </c>
      <c r="P15" s="45">
        <f t="shared" si="4"/>
        <v>1.0208999999999999</v>
      </c>
    </row>
    <row r="16" spans="1:16" ht="14.4">
      <c r="A16" s="10">
        <v>13</v>
      </c>
      <c r="B16" s="11" t="s">
        <v>210</v>
      </c>
      <c r="C16" s="19">
        <f t="shared" si="5"/>
        <v>12432</v>
      </c>
      <c r="D16" s="16">
        <f t="shared" si="6"/>
        <v>2.9600000000000001E-2</v>
      </c>
      <c r="E16" s="11">
        <v>600</v>
      </c>
      <c r="F16" s="20">
        <v>0.04</v>
      </c>
      <c r="G16" s="21">
        <v>1.03</v>
      </c>
      <c r="H16" s="14">
        <v>0.65</v>
      </c>
      <c r="I16" s="18" t="s">
        <v>193</v>
      </c>
      <c r="K16" s="42">
        <f t="shared" si="7"/>
        <v>390</v>
      </c>
      <c r="L16" s="19">
        <f t="shared" si="0"/>
        <v>321</v>
      </c>
      <c r="M16" s="18">
        <v>0.8</v>
      </c>
      <c r="N16" s="53">
        <v>19061</v>
      </c>
      <c r="O16" s="44">
        <v>2.7699999999999999E-2</v>
      </c>
      <c r="P16" s="45">
        <f t="shared" si="4"/>
        <v>1.0277000000000001</v>
      </c>
    </row>
    <row r="17" spans="1:16" ht="14.4">
      <c r="A17" s="10">
        <v>14</v>
      </c>
      <c r="B17" s="11" t="s">
        <v>211</v>
      </c>
      <c r="C17" s="19">
        <f t="shared" si="5"/>
        <v>15792</v>
      </c>
      <c r="D17" s="16">
        <f t="shared" si="6"/>
        <v>3.7600000000000001E-2</v>
      </c>
      <c r="E17" s="11">
        <v>800</v>
      </c>
      <c r="F17" s="20">
        <v>0.02</v>
      </c>
      <c r="G17" s="21">
        <v>1.02</v>
      </c>
      <c r="H17" s="32">
        <v>0.5</v>
      </c>
      <c r="I17" s="18" t="s">
        <v>198</v>
      </c>
      <c r="K17" s="42">
        <f t="shared" si="7"/>
        <v>400</v>
      </c>
      <c r="L17" s="19">
        <f t="shared" si="0"/>
        <v>408</v>
      </c>
      <c r="M17" s="18">
        <v>1</v>
      </c>
      <c r="N17" s="43">
        <v>53172</v>
      </c>
      <c r="O17" s="44">
        <v>1.7100000000000001E-2</v>
      </c>
      <c r="P17" s="45">
        <f t="shared" si="4"/>
        <v>1.0170999999999999</v>
      </c>
    </row>
    <row r="18" spans="1:16" s="4" customFormat="1" ht="14.4">
      <c r="A18" s="33">
        <v>15</v>
      </c>
      <c r="B18" s="34" t="s">
        <v>212</v>
      </c>
      <c r="C18" s="19">
        <f t="shared" si="5"/>
        <v>58128</v>
      </c>
      <c r="D18" s="35">
        <f t="shared" si="6"/>
        <v>0.1384</v>
      </c>
      <c r="E18" s="34">
        <v>2600</v>
      </c>
      <c r="F18" s="36">
        <v>0.14000000000000001</v>
      </c>
      <c r="G18" s="37">
        <v>1.1100000000000001</v>
      </c>
      <c r="H18" s="38">
        <v>0.65</v>
      </c>
      <c r="I18" s="57" t="s">
        <v>193</v>
      </c>
      <c r="K18" s="58">
        <f t="shared" si="7"/>
        <v>1690</v>
      </c>
      <c r="L18" s="59">
        <f t="shared" si="0"/>
        <v>1501</v>
      </c>
      <c r="M18" s="57">
        <v>0.8</v>
      </c>
      <c r="N18" s="60">
        <v>31964</v>
      </c>
      <c r="O18" s="61">
        <v>0.115</v>
      </c>
      <c r="P18" s="62">
        <f t="shared" si="4"/>
        <v>1.115</v>
      </c>
    </row>
    <row r="19" spans="1:16" ht="14.4">
      <c r="A19" s="10">
        <v>16</v>
      </c>
      <c r="B19" s="11" t="s">
        <v>213</v>
      </c>
      <c r="C19" s="19">
        <f t="shared" si="5"/>
        <v>40656</v>
      </c>
      <c r="D19" s="16">
        <f t="shared" si="6"/>
        <v>9.6799999999999997E-2</v>
      </c>
      <c r="E19" s="11">
        <v>2000</v>
      </c>
      <c r="F19" s="20">
        <v>7.0000000000000007E-2</v>
      </c>
      <c r="G19" s="21">
        <v>1.05</v>
      </c>
      <c r="H19" s="32">
        <v>0.5</v>
      </c>
      <c r="I19" s="18" t="s">
        <v>198</v>
      </c>
      <c r="K19" s="42">
        <f t="shared" si="7"/>
        <v>1000</v>
      </c>
      <c r="L19" s="19">
        <f t="shared" si="0"/>
        <v>1050</v>
      </c>
      <c r="M19" s="18">
        <v>1</v>
      </c>
      <c r="N19" s="43">
        <v>25236</v>
      </c>
      <c r="O19" s="44">
        <v>5.3499999999999999E-2</v>
      </c>
      <c r="P19" s="45">
        <f t="shared" si="4"/>
        <v>1.0535000000000001</v>
      </c>
    </row>
    <row r="20" spans="1:16" ht="14.4">
      <c r="A20" s="10">
        <v>17</v>
      </c>
      <c r="B20" s="11" t="s">
        <v>214</v>
      </c>
      <c r="C20" s="19">
        <f t="shared" si="5"/>
        <v>20916</v>
      </c>
      <c r="D20" s="16">
        <f t="shared" si="6"/>
        <v>4.9799999999999997E-2</v>
      </c>
      <c r="E20" s="11">
        <v>1000</v>
      </c>
      <c r="F20" s="20">
        <v>0.1</v>
      </c>
      <c r="G20" s="21">
        <v>1.08</v>
      </c>
      <c r="H20" s="32">
        <v>0.5</v>
      </c>
      <c r="I20" s="18" t="s">
        <v>198</v>
      </c>
      <c r="K20" s="42">
        <f t="shared" si="7"/>
        <v>500</v>
      </c>
      <c r="L20" s="19">
        <f t="shared" si="0"/>
        <v>540</v>
      </c>
      <c r="M20" s="18">
        <v>1</v>
      </c>
      <c r="N20" s="43">
        <v>18953</v>
      </c>
      <c r="O20" s="44">
        <v>7.8100000000000003E-2</v>
      </c>
      <c r="P20" s="45">
        <f t="shared" si="4"/>
        <v>1.0781000000000001</v>
      </c>
    </row>
    <row r="21" spans="1:16" ht="14.4">
      <c r="A21" s="10">
        <v>18</v>
      </c>
      <c r="B21" s="11" t="s">
        <v>215</v>
      </c>
      <c r="C21" s="19">
        <f t="shared" si="5"/>
        <v>66822</v>
      </c>
      <c r="D21" s="16">
        <f t="shared" si="6"/>
        <v>0.15909999999999999</v>
      </c>
      <c r="E21" s="11">
        <v>3000</v>
      </c>
      <c r="F21" s="20">
        <v>0.2</v>
      </c>
      <c r="G21" s="21">
        <v>1.1499999999999999</v>
      </c>
      <c r="H21" s="32">
        <v>0.5</v>
      </c>
      <c r="I21" s="18" t="s">
        <v>198</v>
      </c>
      <c r="K21" s="42">
        <f t="shared" si="7"/>
        <v>1500</v>
      </c>
      <c r="L21" s="19">
        <f t="shared" si="0"/>
        <v>1725</v>
      </c>
      <c r="M21" s="18">
        <v>1</v>
      </c>
      <c r="N21" s="43">
        <v>56500</v>
      </c>
      <c r="O21" s="44">
        <v>0.15440000000000001</v>
      </c>
      <c r="P21" s="45">
        <f t="shared" si="4"/>
        <v>1.1544000000000001</v>
      </c>
    </row>
    <row r="22" spans="1:16" ht="14.4">
      <c r="A22" s="10">
        <v>19</v>
      </c>
      <c r="B22" s="11" t="s">
        <v>216</v>
      </c>
      <c r="C22" s="19">
        <f t="shared" si="5"/>
        <v>16422</v>
      </c>
      <c r="D22" s="16">
        <f t="shared" si="6"/>
        <v>3.9100000000000003E-2</v>
      </c>
      <c r="E22" s="11">
        <v>800</v>
      </c>
      <c r="F22" s="20">
        <v>0.02</v>
      </c>
      <c r="G22" s="21">
        <v>1.02</v>
      </c>
      <c r="H22" s="14">
        <v>0.65</v>
      </c>
      <c r="I22" s="18" t="s">
        <v>193</v>
      </c>
      <c r="K22" s="42">
        <f t="shared" si="7"/>
        <v>520</v>
      </c>
      <c r="L22" s="19">
        <f t="shared" si="0"/>
        <v>424</v>
      </c>
      <c r="M22" s="18">
        <v>0.8</v>
      </c>
      <c r="N22" s="43">
        <v>3000</v>
      </c>
      <c r="O22" s="44">
        <v>1.8700000000000001E-2</v>
      </c>
      <c r="P22" s="45">
        <f t="shared" si="4"/>
        <v>1.0186999999999999</v>
      </c>
    </row>
    <row r="23" spans="1:16" ht="14.4">
      <c r="A23" s="10">
        <v>21</v>
      </c>
      <c r="B23" s="11" t="s">
        <v>217</v>
      </c>
      <c r="C23" s="19">
        <f t="shared" si="5"/>
        <v>14364</v>
      </c>
      <c r="D23" s="16">
        <f t="shared" si="6"/>
        <v>3.4200000000000001E-2</v>
      </c>
      <c r="E23" s="11">
        <v>600</v>
      </c>
      <c r="F23" s="20">
        <v>0</v>
      </c>
      <c r="G23" s="21">
        <v>1.03</v>
      </c>
      <c r="H23" s="27">
        <v>0.5</v>
      </c>
      <c r="I23" s="18" t="s">
        <v>200</v>
      </c>
      <c r="K23" s="42">
        <f t="shared" si="7"/>
        <v>300</v>
      </c>
      <c r="L23" s="19">
        <f t="shared" si="0"/>
        <v>371</v>
      </c>
      <c r="M23" s="18">
        <v>1.2</v>
      </c>
      <c r="N23" s="43">
        <v>9845</v>
      </c>
      <c r="O23" s="44">
        <v>2.7199999999999998E-2</v>
      </c>
      <c r="P23" s="45">
        <f t="shared" si="4"/>
        <v>1.0271999999999999</v>
      </c>
    </row>
    <row r="24" spans="1:16" ht="14.4">
      <c r="A24" s="10">
        <v>25</v>
      </c>
      <c r="B24" s="11" t="s">
        <v>218</v>
      </c>
      <c r="C24" s="19">
        <f t="shared" si="5"/>
        <v>2268</v>
      </c>
      <c r="D24" s="16">
        <f t="shared" si="6"/>
        <v>5.4000000000000003E-3</v>
      </c>
      <c r="E24" s="11">
        <v>90</v>
      </c>
      <c r="F24" s="20">
        <v>0.03</v>
      </c>
      <c r="G24" s="21">
        <v>1</v>
      </c>
      <c r="H24" s="14">
        <v>0.65</v>
      </c>
      <c r="I24" s="41" t="s">
        <v>82</v>
      </c>
      <c r="K24" s="42">
        <f t="shared" si="7"/>
        <v>59</v>
      </c>
      <c r="L24" s="19">
        <f t="shared" si="0"/>
        <v>59</v>
      </c>
      <c r="M24" s="18">
        <v>1</v>
      </c>
      <c r="N24" s="43">
        <v>14800</v>
      </c>
      <c r="O24" s="44">
        <v>3.3E-3</v>
      </c>
      <c r="P24" s="45">
        <f t="shared" si="4"/>
        <v>1.0033000000000001</v>
      </c>
    </row>
    <row r="25" spans="1:16" ht="14.4">
      <c r="A25" s="10">
        <v>20</v>
      </c>
      <c r="B25" s="11" t="s">
        <v>219</v>
      </c>
      <c r="C25" s="19">
        <f t="shared" si="5"/>
        <v>9702</v>
      </c>
      <c r="D25" s="16">
        <f t="shared" si="6"/>
        <v>2.3099999999999999E-2</v>
      </c>
      <c r="E25" s="11">
        <v>400</v>
      </c>
      <c r="F25" s="20">
        <v>0.03</v>
      </c>
      <c r="G25" s="21">
        <v>1.04</v>
      </c>
      <c r="H25" s="27">
        <v>0.5</v>
      </c>
      <c r="I25" s="18" t="s">
        <v>200</v>
      </c>
      <c r="K25" s="42">
        <f t="shared" si="7"/>
        <v>200</v>
      </c>
      <c r="L25" s="19">
        <f t="shared" si="0"/>
        <v>250</v>
      </c>
      <c r="M25" s="18">
        <v>1.2</v>
      </c>
      <c r="N25" s="43">
        <v>11664</v>
      </c>
      <c r="O25" s="44">
        <v>3.6499999999999998E-2</v>
      </c>
      <c r="P25" s="45">
        <f t="shared" si="4"/>
        <v>1.0365</v>
      </c>
    </row>
    <row r="26" spans="1:16" ht="14.4">
      <c r="A26" s="10">
        <v>22</v>
      </c>
      <c r="B26" s="11" t="s">
        <v>220</v>
      </c>
      <c r="C26" s="19">
        <f t="shared" si="5"/>
        <v>43512</v>
      </c>
      <c r="D26" s="16">
        <f t="shared" si="6"/>
        <v>0.1036</v>
      </c>
      <c r="E26" s="11">
        <v>1800</v>
      </c>
      <c r="F26" s="20">
        <v>0.05</v>
      </c>
      <c r="G26" s="21">
        <v>1.04</v>
      </c>
      <c r="H26" s="27">
        <v>0.5</v>
      </c>
      <c r="I26" s="18" t="s">
        <v>200</v>
      </c>
      <c r="K26" s="42">
        <f t="shared" si="7"/>
        <v>900</v>
      </c>
      <c r="L26" s="19">
        <f t="shared" si="0"/>
        <v>1123</v>
      </c>
      <c r="M26" s="18">
        <v>1.2</v>
      </c>
      <c r="N26" s="43">
        <v>60770</v>
      </c>
      <c r="O26" s="44">
        <v>4.2599999999999999E-2</v>
      </c>
      <c r="P26" s="45">
        <f t="shared" si="4"/>
        <v>1.0426</v>
      </c>
    </row>
    <row r="27" spans="1:16" ht="14.4">
      <c r="A27" s="10">
        <v>23</v>
      </c>
      <c r="B27" s="11" t="s">
        <v>221</v>
      </c>
      <c r="C27" s="19">
        <f t="shared" si="5"/>
        <v>14364</v>
      </c>
      <c r="D27" s="16">
        <f t="shared" si="6"/>
        <v>3.4200000000000001E-2</v>
      </c>
      <c r="E27" s="11">
        <v>600</v>
      </c>
      <c r="F27" s="20">
        <v>0.05</v>
      </c>
      <c r="G27" s="21">
        <v>1.03</v>
      </c>
      <c r="H27" s="27">
        <v>0.5</v>
      </c>
      <c r="I27" s="18" t="s">
        <v>200</v>
      </c>
      <c r="K27" s="42">
        <f t="shared" si="7"/>
        <v>300</v>
      </c>
      <c r="L27" s="19">
        <f t="shared" si="0"/>
        <v>371</v>
      </c>
      <c r="M27" s="18">
        <v>1.2</v>
      </c>
      <c r="N27" s="43">
        <v>33034</v>
      </c>
      <c r="O27" s="44">
        <v>2.98E-2</v>
      </c>
      <c r="P27" s="45">
        <f t="shared" si="4"/>
        <v>1.0298</v>
      </c>
    </row>
    <row r="28" spans="1:16" ht="14.4">
      <c r="A28" s="10">
        <v>24</v>
      </c>
      <c r="B28" s="11" t="s">
        <v>222</v>
      </c>
      <c r="C28" s="19">
        <f t="shared" si="5"/>
        <v>16590</v>
      </c>
      <c r="D28" s="16">
        <f t="shared" si="6"/>
        <v>3.95E-2</v>
      </c>
      <c r="E28" s="11">
        <v>700</v>
      </c>
      <c r="F28" s="20">
        <v>0.04</v>
      </c>
      <c r="G28" s="21">
        <v>1.02</v>
      </c>
      <c r="H28" s="27">
        <v>0.5</v>
      </c>
      <c r="I28" s="18" t="s">
        <v>200</v>
      </c>
      <c r="K28" s="42">
        <f t="shared" si="7"/>
        <v>350</v>
      </c>
      <c r="L28" s="19">
        <f t="shared" si="0"/>
        <v>428</v>
      </c>
      <c r="M28" s="18">
        <v>1.2</v>
      </c>
      <c r="N28" s="43">
        <v>42182</v>
      </c>
      <c r="O28" s="44">
        <v>2.1100000000000001E-2</v>
      </c>
      <c r="P28" s="45">
        <f t="shared" si="4"/>
        <v>1.0210999999999999</v>
      </c>
    </row>
    <row r="29" spans="1:16" ht="14.4">
      <c r="A29" s="10">
        <v>26</v>
      </c>
      <c r="B29" s="11" t="s">
        <v>223</v>
      </c>
      <c r="C29" s="19">
        <f t="shared" si="5"/>
        <v>26166</v>
      </c>
      <c r="D29" s="16">
        <f t="shared" si="6"/>
        <v>6.2300000000000001E-2</v>
      </c>
      <c r="E29" s="11">
        <v>1125</v>
      </c>
      <c r="F29" s="20">
        <v>0</v>
      </c>
      <c r="G29" s="21">
        <v>1</v>
      </c>
      <c r="H29" s="27">
        <v>0.5</v>
      </c>
      <c r="I29" s="18" t="s">
        <v>200</v>
      </c>
      <c r="K29" s="42">
        <f t="shared" si="7"/>
        <v>563</v>
      </c>
      <c r="L29" s="19">
        <f t="shared" si="0"/>
        <v>676</v>
      </c>
      <c r="M29" s="18">
        <v>1.2</v>
      </c>
      <c r="N29" s="43">
        <v>12798</v>
      </c>
      <c r="O29" s="44">
        <v>3.8E-3</v>
      </c>
      <c r="P29" s="45">
        <f t="shared" si="4"/>
        <v>1.0038</v>
      </c>
    </row>
    <row r="30" spans="1:16" ht="14.4">
      <c r="A30" s="10">
        <v>27</v>
      </c>
      <c r="B30" s="11" t="s">
        <v>224</v>
      </c>
      <c r="C30" s="19">
        <f t="shared" si="5"/>
        <v>21546</v>
      </c>
      <c r="D30" s="16">
        <f t="shared" si="6"/>
        <v>5.1299999999999998E-2</v>
      </c>
      <c r="E30" s="11">
        <v>900</v>
      </c>
      <c r="F30" s="20">
        <v>0.03</v>
      </c>
      <c r="G30" s="21">
        <v>1.03</v>
      </c>
      <c r="H30" s="27">
        <v>0.5</v>
      </c>
      <c r="I30" s="18" t="s">
        <v>200</v>
      </c>
      <c r="K30" s="42">
        <f t="shared" si="7"/>
        <v>450</v>
      </c>
      <c r="L30" s="19">
        <f t="shared" si="0"/>
        <v>556</v>
      </c>
      <c r="M30" s="18">
        <v>1.2</v>
      </c>
      <c r="N30" s="43">
        <v>26553</v>
      </c>
      <c r="O30" s="44">
        <v>2.6700000000000002E-2</v>
      </c>
      <c r="P30" s="45">
        <f t="shared" si="4"/>
        <v>1.0266999999999999</v>
      </c>
    </row>
    <row r="31" spans="1:16" ht="14.4">
      <c r="A31" s="10">
        <v>28</v>
      </c>
      <c r="B31" s="11" t="s">
        <v>225</v>
      </c>
      <c r="C31" s="19">
        <f t="shared" si="5"/>
        <v>11718</v>
      </c>
      <c r="D31" s="16">
        <f t="shared" si="6"/>
        <v>2.7900000000000001E-2</v>
      </c>
      <c r="E31" s="11">
        <v>500</v>
      </c>
      <c r="F31" s="20">
        <v>0.01</v>
      </c>
      <c r="G31" s="21">
        <v>1.01</v>
      </c>
      <c r="H31" s="27">
        <v>0.5</v>
      </c>
      <c r="I31" s="18" t="s">
        <v>200</v>
      </c>
      <c r="K31" s="42">
        <f t="shared" si="7"/>
        <v>250</v>
      </c>
      <c r="L31" s="19">
        <f t="shared" si="0"/>
        <v>303</v>
      </c>
      <c r="M31" s="18">
        <v>1.2</v>
      </c>
      <c r="N31" s="43">
        <v>7390</v>
      </c>
      <c r="O31" s="44">
        <v>8.0000000000000002E-3</v>
      </c>
      <c r="P31" s="45">
        <f t="shared" si="4"/>
        <v>1.008</v>
      </c>
    </row>
    <row r="32" spans="1:16" ht="14.4">
      <c r="A32" s="10">
        <v>29</v>
      </c>
      <c r="B32" s="11" t="s">
        <v>226</v>
      </c>
      <c r="C32" s="19">
        <f t="shared" si="5"/>
        <v>11718</v>
      </c>
      <c r="D32" s="16">
        <f t="shared" si="6"/>
        <v>2.7900000000000001E-2</v>
      </c>
      <c r="E32" s="11">
        <v>500</v>
      </c>
      <c r="F32" s="20">
        <v>0.01</v>
      </c>
      <c r="G32" s="21">
        <v>1.01</v>
      </c>
      <c r="H32" s="27">
        <v>0.5</v>
      </c>
      <c r="I32" s="18" t="s">
        <v>200</v>
      </c>
      <c r="K32" s="42">
        <f t="shared" si="7"/>
        <v>250</v>
      </c>
      <c r="L32" s="19">
        <f t="shared" si="0"/>
        <v>303</v>
      </c>
      <c r="M32" s="18">
        <v>1.2</v>
      </c>
      <c r="N32" s="43">
        <v>14500</v>
      </c>
      <c r="O32" s="44">
        <v>0.01</v>
      </c>
      <c r="P32" s="45">
        <f t="shared" si="4"/>
        <v>1.01</v>
      </c>
    </row>
    <row r="33" spans="1:16" ht="14.4">
      <c r="A33" s="10">
        <v>30</v>
      </c>
      <c r="B33" s="39" t="s">
        <v>227</v>
      </c>
      <c r="C33" s="19">
        <f>60*D33*10000</f>
        <v>0</v>
      </c>
      <c r="D33" s="19">
        <v>0</v>
      </c>
      <c r="E33" s="29">
        <v>0</v>
      </c>
      <c r="F33" s="29" t="s">
        <v>206</v>
      </c>
      <c r="G33" s="40">
        <v>1.01</v>
      </c>
      <c r="H33" s="30" t="s">
        <v>206</v>
      </c>
      <c r="I33" s="41" t="s">
        <v>84</v>
      </c>
      <c r="K33" s="29" t="s">
        <v>206</v>
      </c>
      <c r="L33" s="19" t="e">
        <f t="shared" si="0"/>
        <v>#VALUE!</v>
      </c>
      <c r="M33" s="29" t="s">
        <v>206</v>
      </c>
      <c r="N33" s="43">
        <v>300</v>
      </c>
      <c r="O33" s="44">
        <v>1.32E-2</v>
      </c>
      <c r="P33" s="45">
        <f t="shared" si="4"/>
        <v>1.0132000000000001</v>
      </c>
    </row>
    <row r="34" spans="1:16" ht="14.4">
      <c r="A34" s="10">
        <v>31</v>
      </c>
      <c r="B34" s="11" t="s">
        <v>228</v>
      </c>
      <c r="C34" s="19">
        <f>42*D34*10000</f>
        <v>21126</v>
      </c>
      <c r="D34" s="16">
        <f>L34/10844</f>
        <v>5.0299999999999997E-2</v>
      </c>
      <c r="E34" s="11">
        <v>900</v>
      </c>
      <c r="F34" s="20">
        <v>0.02</v>
      </c>
      <c r="G34" s="21">
        <v>1.01</v>
      </c>
      <c r="H34" s="27">
        <v>0.5</v>
      </c>
      <c r="I34" s="18" t="s">
        <v>200</v>
      </c>
      <c r="K34" s="42">
        <f>E34*H34</f>
        <v>450</v>
      </c>
      <c r="L34" s="19">
        <f t="shared" si="0"/>
        <v>545</v>
      </c>
      <c r="M34" s="18">
        <v>1.2</v>
      </c>
      <c r="N34" s="43">
        <v>7068</v>
      </c>
      <c r="O34" s="44">
        <v>1.43E-2</v>
      </c>
      <c r="P34" s="45">
        <f t="shared" si="4"/>
        <v>1.0143</v>
      </c>
    </row>
    <row r="35" spans="1:16" ht="28.8">
      <c r="A35" s="10">
        <v>32</v>
      </c>
      <c r="B35" s="11" t="s">
        <v>229</v>
      </c>
      <c r="C35" s="19">
        <f>42*D35*10000</f>
        <v>3234</v>
      </c>
      <c r="D35" s="16">
        <f>L35/10844</f>
        <v>7.7000000000000002E-3</v>
      </c>
      <c r="E35" s="11">
        <v>140</v>
      </c>
      <c r="F35" s="20">
        <v>0</v>
      </c>
      <c r="G35" s="21">
        <v>1</v>
      </c>
      <c r="H35" s="27">
        <v>0.5</v>
      </c>
      <c r="I35" s="18" t="s">
        <v>200</v>
      </c>
      <c r="K35" s="42">
        <f>E35*H35</f>
        <v>70</v>
      </c>
      <c r="L35" s="19">
        <f t="shared" si="0"/>
        <v>84</v>
      </c>
      <c r="M35" s="18">
        <v>1.2</v>
      </c>
      <c r="N35" s="43">
        <v>1649</v>
      </c>
      <c r="O35" s="44">
        <v>2.9999999999999997E-4</v>
      </c>
      <c r="P35" s="45">
        <f t="shared" si="4"/>
        <v>1.0003</v>
      </c>
    </row>
  </sheetData>
  <phoneticPr fontId="62" type="noConversion"/>
  <pageMargins left="0.7" right="0.7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ColWidth="9" defaultRowHeight="14.4"/>
  <sheetData/>
  <phoneticPr fontId="6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topLeftCell="A4" workbookViewId="0">
      <selection activeCell="L11" sqref="L10:L11"/>
    </sheetView>
  </sheetViews>
  <sheetFormatPr defaultColWidth="9" defaultRowHeight="14.4"/>
  <cols>
    <col min="1" max="1" width="6.6640625" style="164" customWidth="1"/>
    <col min="2" max="2" width="15.21875" style="442" customWidth="1"/>
    <col min="3" max="3" width="13.44140625" style="234" customWidth="1"/>
    <col min="4" max="4" width="10.77734375" style="168" customWidth="1"/>
    <col min="5" max="5" width="12.33203125" style="164" customWidth="1"/>
    <col min="6" max="6" width="11.44140625" style="167" customWidth="1"/>
    <col min="7" max="7" width="11.44140625" style="443" customWidth="1"/>
    <col min="8" max="8" width="10" style="169" customWidth="1"/>
    <col min="9" max="9" width="9.33203125" style="444" customWidth="1"/>
    <col min="10" max="10" width="10.21875" style="503" customWidth="1"/>
    <col min="11" max="11" width="9.44140625" style="164" customWidth="1"/>
    <col min="12" max="12" width="6.6640625" style="164" customWidth="1"/>
    <col min="13" max="13" width="7.33203125" style="164" customWidth="1"/>
    <col min="14" max="14" width="8.88671875" style="164" customWidth="1"/>
    <col min="15" max="15" width="14.109375" style="5" customWidth="1"/>
    <col min="16" max="16" width="17.21875" customWidth="1"/>
    <col min="17" max="30" width="9" style="1"/>
  </cols>
  <sheetData>
    <row r="1" spans="1:16" ht="17.399999999999999">
      <c r="A1" s="445" t="s">
        <v>34</v>
      </c>
      <c r="B1" s="446"/>
      <c r="C1" s="447"/>
      <c r="D1" s="448"/>
      <c r="E1" s="449"/>
      <c r="F1" s="174"/>
      <c r="G1" s="450"/>
      <c r="H1" s="175"/>
      <c r="I1" s="482"/>
      <c r="J1" s="511"/>
      <c r="K1" s="449"/>
      <c r="L1" s="449"/>
      <c r="M1" s="449"/>
      <c r="N1" s="449"/>
    </row>
    <row r="2" spans="1:16">
      <c r="A2" s="451"/>
      <c r="B2" s="446"/>
      <c r="C2" s="447"/>
      <c r="D2" s="448"/>
      <c r="E2" s="449"/>
      <c r="F2" s="174"/>
      <c r="G2" s="450"/>
      <c r="H2" s="175"/>
      <c r="I2" s="482"/>
      <c r="J2" s="511"/>
      <c r="K2" s="449"/>
      <c r="L2" s="449"/>
      <c r="M2" s="449"/>
      <c r="N2" s="449"/>
    </row>
    <row r="3" spans="1:16" ht="20.399999999999999">
      <c r="A3" s="537" t="s">
        <v>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</row>
    <row r="4" spans="1:16" ht="17.399999999999999">
      <c r="A4" s="452"/>
      <c r="B4" s="453"/>
      <c r="C4" s="211"/>
      <c r="D4" s="454"/>
      <c r="E4" s="452"/>
      <c r="F4" s="179"/>
      <c r="G4" s="455"/>
      <c r="H4" s="180"/>
      <c r="I4" s="484"/>
      <c r="J4" s="512"/>
      <c r="K4" s="452"/>
      <c r="L4" s="452"/>
      <c r="M4" s="452"/>
      <c r="N4" s="452"/>
    </row>
    <row r="5" spans="1:16" s="235" customFormat="1" ht="67.5" customHeight="1">
      <c r="A5" s="456" t="s">
        <v>1</v>
      </c>
      <c r="B5" s="456" t="s">
        <v>2</v>
      </c>
      <c r="C5" s="213" t="s">
        <v>36</v>
      </c>
      <c r="D5" s="457" t="s">
        <v>37</v>
      </c>
      <c r="E5" s="456" t="s">
        <v>38</v>
      </c>
      <c r="F5" s="500" t="s">
        <v>39</v>
      </c>
      <c r="G5" s="457" t="s">
        <v>40</v>
      </c>
      <c r="H5" s="458" t="s">
        <v>5</v>
      </c>
      <c r="I5" s="486" t="s">
        <v>41</v>
      </c>
      <c r="J5" s="513" t="s">
        <v>42</v>
      </c>
      <c r="K5" s="456" t="s">
        <v>43</v>
      </c>
      <c r="L5" s="456" t="s">
        <v>44</v>
      </c>
      <c r="M5" s="456" t="s">
        <v>45</v>
      </c>
      <c r="N5" s="456" t="s">
        <v>4</v>
      </c>
      <c r="O5" s="213" t="s">
        <v>46</v>
      </c>
      <c r="P5" s="213" t="s">
        <v>47</v>
      </c>
    </row>
    <row r="6" spans="1:16" s="236" customFormat="1" ht="15.6">
      <c r="A6" s="459"/>
      <c r="B6" s="460" t="s">
        <v>48</v>
      </c>
      <c r="C6" s="461">
        <f>SUM(C7:C37)</f>
        <v>420000</v>
      </c>
      <c r="D6" s="462">
        <f>SUM(D7:D37)</f>
        <v>377977</v>
      </c>
      <c r="E6" s="462">
        <f>SUM(E7:E37)</f>
        <v>419999</v>
      </c>
      <c r="F6" s="284">
        <f>SUM(F7:F36)</f>
        <v>377999</v>
      </c>
      <c r="G6" s="462"/>
      <c r="H6" s="296"/>
      <c r="I6" s="488">
        <f>SUM(I7:I37)</f>
        <v>42000</v>
      </c>
      <c r="J6" s="514">
        <f>SUM(J7:J37)</f>
        <v>1</v>
      </c>
      <c r="K6" s="459">
        <f>SUM(K7:K36)</f>
        <v>24330</v>
      </c>
      <c r="L6" s="459"/>
      <c r="M6" s="459"/>
      <c r="N6" s="459"/>
      <c r="O6" s="490">
        <f>SUM(O7:O37)</f>
        <v>15035.73</v>
      </c>
      <c r="P6" s="216"/>
    </row>
    <row r="7" spans="1:16" s="1" customFormat="1" ht="16.8">
      <c r="A7" s="459">
        <v>1</v>
      </c>
      <c r="B7" s="460" t="s">
        <v>49</v>
      </c>
      <c r="C7" s="463">
        <f>D7+I7</f>
        <v>1875</v>
      </c>
      <c r="D7" s="462">
        <f>F7*(1-0.18)</f>
        <v>1875</v>
      </c>
      <c r="E7" s="462">
        <f>SUM(F7+I7)</f>
        <v>2287</v>
      </c>
      <c r="F7" s="284">
        <f>(42-4.2)*10000*J7</f>
        <v>2287</v>
      </c>
      <c r="G7" s="462">
        <v>1099</v>
      </c>
      <c r="H7" s="308" t="s">
        <v>50</v>
      </c>
      <c r="I7" s="488">
        <v>0</v>
      </c>
      <c r="J7" s="514">
        <f>O7/15035.73</f>
        <v>6.0499999999999998E-3</v>
      </c>
      <c r="K7" s="459">
        <v>140</v>
      </c>
      <c r="L7" s="489">
        <v>1</v>
      </c>
      <c r="M7" s="489">
        <v>1</v>
      </c>
      <c r="N7" s="489">
        <v>0.65</v>
      </c>
      <c r="O7" s="192">
        <f>K7*L7*M7*N7</f>
        <v>91</v>
      </c>
      <c r="P7" s="214">
        <v>0.65</v>
      </c>
    </row>
    <row r="8" spans="1:16" s="1" customFormat="1" ht="16.8">
      <c r="A8" s="459">
        <v>2</v>
      </c>
      <c r="B8" s="460" t="s">
        <v>51</v>
      </c>
      <c r="C8" s="463">
        <f t="shared" ref="C8:C21" si="0">D8+I8</f>
        <v>1674</v>
      </c>
      <c r="D8" s="462">
        <f t="shared" ref="D8:D12" si="1">F8*(1-0.18)</f>
        <v>1674</v>
      </c>
      <c r="E8" s="462">
        <f t="shared" ref="E8:E37" si="2">SUM(F8+I8)</f>
        <v>2041</v>
      </c>
      <c r="F8" s="284">
        <f t="shared" ref="F8:F37" si="3">(42-4.2)*10000*J8</f>
        <v>2041</v>
      </c>
      <c r="G8" s="462">
        <v>982</v>
      </c>
      <c r="H8" s="308" t="s">
        <v>50</v>
      </c>
      <c r="I8" s="488">
        <v>0</v>
      </c>
      <c r="J8" s="514">
        <f t="shared" ref="J8:J37" si="4">O8/15035.73</f>
        <v>5.4000000000000003E-3</v>
      </c>
      <c r="K8" s="459">
        <v>125</v>
      </c>
      <c r="L8" s="489">
        <v>1</v>
      </c>
      <c r="M8" s="489">
        <v>1</v>
      </c>
      <c r="N8" s="489">
        <v>0.65</v>
      </c>
      <c r="O8" s="192">
        <f t="shared" ref="O8:O37" si="5">K8*L8*M8*N8</f>
        <v>81.25</v>
      </c>
      <c r="P8" s="214">
        <v>0.65</v>
      </c>
    </row>
    <row r="9" spans="1:16" s="1" customFormat="1" ht="15.6">
      <c r="A9" s="459">
        <v>3</v>
      </c>
      <c r="B9" s="460" t="s">
        <v>52</v>
      </c>
      <c r="C9" s="463">
        <f t="shared" si="0"/>
        <v>36359</v>
      </c>
      <c r="D9" s="462">
        <f t="shared" si="1"/>
        <v>32159</v>
      </c>
      <c r="E9" s="462">
        <f t="shared" si="2"/>
        <v>43418</v>
      </c>
      <c r="F9" s="284">
        <f t="shared" si="3"/>
        <v>39218</v>
      </c>
      <c r="G9" s="462">
        <v>22077</v>
      </c>
      <c r="H9" s="296">
        <v>12199</v>
      </c>
      <c r="I9" s="488">
        <v>4200</v>
      </c>
      <c r="J9" s="514">
        <f t="shared" si="4"/>
        <v>0.10375</v>
      </c>
      <c r="K9" s="459">
        <v>2000</v>
      </c>
      <c r="L9" s="489">
        <v>1</v>
      </c>
      <c r="M9" s="489">
        <v>1.2</v>
      </c>
      <c r="N9" s="489">
        <v>0.65</v>
      </c>
      <c r="O9" s="192">
        <f t="shared" si="5"/>
        <v>1560</v>
      </c>
      <c r="P9" s="214">
        <v>0.65</v>
      </c>
    </row>
    <row r="10" spans="1:16" s="1" customFormat="1" ht="16.8">
      <c r="A10" s="459">
        <v>4</v>
      </c>
      <c r="B10" s="460" t="s">
        <v>53</v>
      </c>
      <c r="C10" s="463">
        <f t="shared" si="0"/>
        <v>1339</v>
      </c>
      <c r="D10" s="462">
        <f t="shared" si="1"/>
        <v>1339</v>
      </c>
      <c r="E10" s="462">
        <f t="shared" si="2"/>
        <v>1633</v>
      </c>
      <c r="F10" s="284">
        <f t="shared" si="3"/>
        <v>1633</v>
      </c>
      <c r="G10" s="462">
        <v>0</v>
      </c>
      <c r="H10" s="308" t="s">
        <v>50</v>
      </c>
      <c r="I10" s="488">
        <v>0</v>
      </c>
      <c r="J10" s="514">
        <f t="shared" si="4"/>
        <v>4.3200000000000001E-3</v>
      </c>
      <c r="K10" s="459">
        <v>100</v>
      </c>
      <c r="L10" s="489">
        <v>1</v>
      </c>
      <c r="M10" s="489">
        <v>1</v>
      </c>
      <c r="N10" s="489">
        <v>0.65</v>
      </c>
      <c r="O10" s="192">
        <f t="shared" si="5"/>
        <v>65</v>
      </c>
      <c r="P10" s="214">
        <v>0.65</v>
      </c>
    </row>
    <row r="11" spans="1:16" s="1" customFormat="1" ht="15.6">
      <c r="A11" s="459">
        <v>5</v>
      </c>
      <c r="B11" s="460" t="s">
        <v>54</v>
      </c>
      <c r="C11" s="463">
        <f t="shared" si="0"/>
        <v>13111</v>
      </c>
      <c r="D11" s="462">
        <f t="shared" si="1"/>
        <v>13111</v>
      </c>
      <c r="E11" s="462">
        <f t="shared" si="2"/>
        <v>15989</v>
      </c>
      <c r="F11" s="284">
        <f t="shared" si="3"/>
        <v>15989</v>
      </c>
      <c r="G11" s="462">
        <v>28104</v>
      </c>
      <c r="H11" s="296">
        <v>7481</v>
      </c>
      <c r="I11" s="488">
        <v>0</v>
      </c>
      <c r="J11" s="514">
        <f t="shared" si="4"/>
        <v>4.2299999999999997E-2</v>
      </c>
      <c r="K11" s="459">
        <v>950</v>
      </c>
      <c r="L11" s="489">
        <v>1</v>
      </c>
      <c r="M11" s="459">
        <v>1.03</v>
      </c>
      <c r="N11" s="489">
        <v>0.65</v>
      </c>
      <c r="O11" s="192">
        <f t="shared" si="5"/>
        <v>636.02499999999998</v>
      </c>
      <c r="P11" s="214">
        <v>0.5</v>
      </c>
    </row>
    <row r="12" spans="1:16" s="1" customFormat="1" ht="16.8">
      <c r="A12" s="459">
        <v>10</v>
      </c>
      <c r="B12" s="460" t="s">
        <v>55</v>
      </c>
      <c r="C12" s="463">
        <f t="shared" si="0"/>
        <v>8362</v>
      </c>
      <c r="D12" s="462">
        <f t="shared" si="1"/>
        <v>8362</v>
      </c>
      <c r="E12" s="462">
        <f t="shared" si="2"/>
        <v>10198</v>
      </c>
      <c r="F12" s="284">
        <f t="shared" si="3"/>
        <v>10198</v>
      </c>
      <c r="G12" s="462">
        <v>5743</v>
      </c>
      <c r="H12" s="308" t="s">
        <v>50</v>
      </c>
      <c r="I12" s="488"/>
      <c r="J12" s="514">
        <f t="shared" si="4"/>
        <v>2.6980000000000001E-2</v>
      </c>
      <c r="K12" s="459">
        <v>600</v>
      </c>
      <c r="L12" s="489">
        <v>1</v>
      </c>
      <c r="M12" s="489">
        <v>1.04</v>
      </c>
      <c r="N12" s="489">
        <v>0.65</v>
      </c>
      <c r="O12" s="192">
        <f t="shared" si="5"/>
        <v>405.6</v>
      </c>
      <c r="P12" s="214">
        <v>0.65</v>
      </c>
    </row>
    <row r="13" spans="1:16" s="64" customFormat="1" ht="15.6">
      <c r="A13" s="301">
        <v>6</v>
      </c>
      <c r="B13" s="464" t="s">
        <v>56</v>
      </c>
      <c r="C13" s="504">
        <f t="shared" si="0"/>
        <v>40690</v>
      </c>
      <c r="D13" s="296">
        <v>36490</v>
      </c>
      <c r="E13" s="302">
        <f t="shared" si="2"/>
        <v>17536</v>
      </c>
      <c r="F13" s="284">
        <f t="shared" si="3"/>
        <v>13336</v>
      </c>
      <c r="G13" s="302">
        <v>46872</v>
      </c>
      <c r="H13" s="296">
        <v>36490</v>
      </c>
      <c r="I13" s="488">
        <v>4200</v>
      </c>
      <c r="J13" s="514">
        <f t="shared" si="4"/>
        <v>3.5279999999999999E-2</v>
      </c>
      <c r="K13" s="301">
        <v>800</v>
      </c>
      <c r="L13" s="328">
        <v>1</v>
      </c>
      <c r="M13" s="301">
        <v>1.02</v>
      </c>
      <c r="N13" s="328">
        <v>0.65</v>
      </c>
      <c r="O13" s="192">
        <f t="shared" si="5"/>
        <v>530.4</v>
      </c>
      <c r="P13" s="328">
        <v>0.5</v>
      </c>
    </row>
    <row r="14" spans="1:16" s="1" customFormat="1" ht="16.8">
      <c r="A14" s="459">
        <v>7</v>
      </c>
      <c r="B14" s="460" t="s">
        <v>57</v>
      </c>
      <c r="C14" s="463">
        <f t="shared" si="0"/>
        <v>35537</v>
      </c>
      <c r="D14" s="462">
        <f>F14*(1-0.18)</f>
        <v>35537</v>
      </c>
      <c r="E14" s="462">
        <f t="shared" si="2"/>
        <v>43338</v>
      </c>
      <c r="F14" s="284">
        <f t="shared" si="3"/>
        <v>43338</v>
      </c>
      <c r="G14" s="462">
        <v>27657</v>
      </c>
      <c r="H14" s="308" t="s">
        <v>50</v>
      </c>
      <c r="I14" s="488">
        <v>0</v>
      </c>
      <c r="J14" s="514">
        <f t="shared" si="4"/>
        <v>0.11465</v>
      </c>
      <c r="K14" s="459">
        <v>2600</v>
      </c>
      <c r="L14" s="489">
        <v>1</v>
      </c>
      <c r="M14" s="489">
        <v>1.02</v>
      </c>
      <c r="N14" s="489">
        <v>0.65</v>
      </c>
      <c r="O14" s="192">
        <f t="shared" si="5"/>
        <v>1723.8</v>
      </c>
      <c r="P14" s="214">
        <v>0.65</v>
      </c>
    </row>
    <row r="15" spans="1:16" s="1" customFormat="1" ht="15.6">
      <c r="A15" s="459">
        <v>8</v>
      </c>
      <c r="B15" s="460" t="s">
        <v>58</v>
      </c>
      <c r="C15" s="463">
        <f t="shared" si="0"/>
        <v>14739</v>
      </c>
      <c r="D15" s="462">
        <f t="shared" ref="D15:D18" si="6">F15*(1-0.18)</f>
        <v>14739</v>
      </c>
      <c r="E15" s="462">
        <f t="shared" si="2"/>
        <v>17974</v>
      </c>
      <c r="F15" s="284">
        <f t="shared" si="3"/>
        <v>17974</v>
      </c>
      <c r="G15" s="462">
        <v>15053</v>
      </c>
      <c r="H15" s="296">
        <v>11885</v>
      </c>
      <c r="I15" s="488"/>
      <c r="J15" s="514">
        <f t="shared" si="4"/>
        <v>4.7550000000000002E-2</v>
      </c>
      <c r="K15" s="459">
        <v>1000</v>
      </c>
      <c r="L15" s="489">
        <v>1</v>
      </c>
      <c r="M15" s="489">
        <v>1.1000000000000001</v>
      </c>
      <c r="N15" s="489">
        <v>0.65</v>
      </c>
      <c r="O15" s="192">
        <f t="shared" si="5"/>
        <v>715</v>
      </c>
      <c r="P15" s="214">
        <v>0.5</v>
      </c>
    </row>
    <row r="16" spans="1:16" s="1" customFormat="1" ht="15.6">
      <c r="A16" s="459">
        <v>9</v>
      </c>
      <c r="B16" s="460" t="s">
        <v>59</v>
      </c>
      <c r="C16" s="463">
        <f t="shared" si="0"/>
        <v>48239</v>
      </c>
      <c r="D16" s="462">
        <f t="shared" si="6"/>
        <v>48239</v>
      </c>
      <c r="E16" s="462">
        <f t="shared" si="2"/>
        <v>58828</v>
      </c>
      <c r="F16" s="284">
        <f t="shared" si="3"/>
        <v>58828</v>
      </c>
      <c r="G16" s="462">
        <v>40000</v>
      </c>
      <c r="H16" s="296">
        <v>21397</v>
      </c>
      <c r="I16" s="493">
        <v>0</v>
      </c>
      <c r="J16" s="514">
        <f t="shared" si="4"/>
        <v>0.15562999999999999</v>
      </c>
      <c r="K16" s="459">
        <v>3000</v>
      </c>
      <c r="L16" s="489">
        <v>1</v>
      </c>
      <c r="M16" s="489">
        <v>1.2</v>
      </c>
      <c r="N16" s="489">
        <v>0.65</v>
      </c>
      <c r="O16" s="192">
        <f t="shared" si="5"/>
        <v>2340</v>
      </c>
      <c r="P16" s="214">
        <v>0.5</v>
      </c>
    </row>
    <row r="17" spans="1:16" s="1" customFormat="1" ht="16.8">
      <c r="A17" s="459">
        <v>11</v>
      </c>
      <c r="B17" s="460" t="s">
        <v>60</v>
      </c>
      <c r="C17" s="463">
        <f t="shared" si="0"/>
        <v>10936</v>
      </c>
      <c r="D17" s="462">
        <f t="shared" si="6"/>
        <v>10936</v>
      </c>
      <c r="E17" s="462">
        <f t="shared" si="2"/>
        <v>13336</v>
      </c>
      <c r="F17" s="284">
        <f t="shared" si="3"/>
        <v>13336</v>
      </c>
      <c r="G17" s="462">
        <v>0</v>
      </c>
      <c r="H17" s="308" t="s">
        <v>50</v>
      </c>
      <c r="J17" s="514">
        <f t="shared" si="4"/>
        <v>3.5279999999999999E-2</v>
      </c>
      <c r="K17" s="459">
        <v>800</v>
      </c>
      <c r="L17" s="489">
        <v>1</v>
      </c>
      <c r="M17" s="489">
        <v>1.02</v>
      </c>
      <c r="N17" s="489">
        <v>0.65</v>
      </c>
      <c r="O17" s="192">
        <f t="shared" si="5"/>
        <v>530.4</v>
      </c>
      <c r="P17" s="214">
        <v>0.65</v>
      </c>
    </row>
    <row r="18" spans="1:16" s="1" customFormat="1" ht="15.6">
      <c r="A18" s="459">
        <v>12</v>
      </c>
      <c r="B18" s="460" t="s">
        <v>61</v>
      </c>
      <c r="C18" s="463">
        <f t="shared" si="0"/>
        <v>5443</v>
      </c>
      <c r="D18" s="462">
        <f t="shared" si="6"/>
        <v>1243</v>
      </c>
      <c r="E18" s="462">
        <f t="shared" si="2"/>
        <v>5716</v>
      </c>
      <c r="F18" s="284">
        <f t="shared" si="3"/>
        <v>1516</v>
      </c>
      <c r="G18" s="462">
        <v>10000</v>
      </c>
      <c r="H18" s="296">
        <v>25</v>
      </c>
      <c r="I18" s="488">
        <v>4200</v>
      </c>
      <c r="J18" s="514">
        <f t="shared" si="4"/>
        <v>4.0099999999999997E-3</v>
      </c>
      <c r="K18" s="459">
        <v>90</v>
      </c>
      <c r="L18" s="489">
        <v>1</v>
      </c>
      <c r="M18" s="489">
        <v>1.03</v>
      </c>
      <c r="N18" s="489">
        <v>0.65</v>
      </c>
      <c r="O18" s="192">
        <f t="shared" si="5"/>
        <v>60.255000000000003</v>
      </c>
      <c r="P18" s="214">
        <v>0.65</v>
      </c>
    </row>
    <row r="19" spans="1:16" s="237" customFormat="1" ht="33" customHeight="1">
      <c r="A19" s="466"/>
      <c r="B19" s="467" t="s">
        <v>62</v>
      </c>
      <c r="C19" s="463">
        <f t="shared" si="0"/>
        <v>0</v>
      </c>
      <c r="D19" s="462">
        <f t="shared" ref="D19:D37" si="7">F19*(1-0.214)</f>
        <v>0</v>
      </c>
      <c r="E19" s="462">
        <f t="shared" si="2"/>
        <v>0</v>
      </c>
      <c r="F19" s="284">
        <f t="shared" si="3"/>
        <v>0</v>
      </c>
      <c r="G19" s="468"/>
      <c r="H19" s="465"/>
      <c r="I19" s="494"/>
      <c r="J19" s="514">
        <f t="shared" si="4"/>
        <v>0</v>
      </c>
      <c r="K19" s="474"/>
      <c r="L19" s="495"/>
      <c r="M19" s="495"/>
      <c r="N19" s="495"/>
      <c r="O19" s="192">
        <f t="shared" si="5"/>
        <v>0</v>
      </c>
      <c r="P19" s="228"/>
    </row>
    <row r="20" spans="1:16" s="1" customFormat="1" ht="15.6">
      <c r="A20" s="459">
        <v>13</v>
      </c>
      <c r="B20" s="460" t="s">
        <v>63</v>
      </c>
      <c r="C20" s="463">
        <f t="shared" si="0"/>
        <v>6307</v>
      </c>
      <c r="D20" s="462">
        <f>F20*(1-0.18)</f>
        <v>6307</v>
      </c>
      <c r="E20" s="462">
        <f t="shared" si="2"/>
        <v>7692</v>
      </c>
      <c r="F20" s="284">
        <f t="shared" si="3"/>
        <v>7692</v>
      </c>
      <c r="G20" s="462">
        <v>5890</v>
      </c>
      <c r="H20" s="296">
        <v>5890</v>
      </c>
      <c r="I20" s="488">
        <v>0</v>
      </c>
      <c r="J20" s="514">
        <f t="shared" si="4"/>
        <v>2.035E-2</v>
      </c>
      <c r="K20" s="459">
        <v>600</v>
      </c>
      <c r="L20" s="489">
        <v>1</v>
      </c>
      <c r="M20" s="489">
        <v>1.02</v>
      </c>
      <c r="N20" s="489">
        <v>0.5</v>
      </c>
      <c r="O20" s="192">
        <f t="shared" si="5"/>
        <v>306</v>
      </c>
      <c r="P20" s="214">
        <v>0.65</v>
      </c>
    </row>
    <row r="21" spans="1:16" s="1" customFormat="1" ht="19.95" customHeight="1">
      <c r="A21" s="459">
        <v>21</v>
      </c>
      <c r="B21" s="460" t="s">
        <v>64</v>
      </c>
      <c r="C21" s="463">
        <f t="shared" si="0"/>
        <v>3711</v>
      </c>
      <c r="D21" s="462">
        <f t="shared" ref="D21:D26" si="8">F21*(1-0.18)</f>
        <v>3711</v>
      </c>
      <c r="E21" s="462">
        <f t="shared" si="2"/>
        <v>4525</v>
      </c>
      <c r="F21" s="284">
        <f t="shared" si="3"/>
        <v>4525</v>
      </c>
      <c r="G21" s="462">
        <v>4241</v>
      </c>
      <c r="H21" s="296">
        <v>2241</v>
      </c>
      <c r="I21" s="488">
        <v>0</v>
      </c>
      <c r="J21" s="514">
        <f t="shared" si="4"/>
        <v>1.197E-2</v>
      </c>
      <c r="K21" s="459">
        <v>360</v>
      </c>
      <c r="L21" s="489">
        <v>1</v>
      </c>
      <c r="M21" s="489">
        <v>1</v>
      </c>
      <c r="N21" s="489">
        <v>0.5</v>
      </c>
      <c r="O21" s="192">
        <f t="shared" si="5"/>
        <v>180</v>
      </c>
      <c r="P21" s="214">
        <v>0.5</v>
      </c>
    </row>
    <row r="22" spans="1:16" s="501" customFormat="1" ht="16.8">
      <c r="A22" s="505">
        <v>22</v>
      </c>
      <c r="B22" s="506" t="s">
        <v>65</v>
      </c>
      <c r="C22" s="507">
        <f>D22+I22+420000-419977</f>
        <v>10407</v>
      </c>
      <c r="D22" s="462">
        <f t="shared" si="8"/>
        <v>6184</v>
      </c>
      <c r="E22" s="508">
        <f t="shared" si="2"/>
        <v>11741</v>
      </c>
      <c r="F22" s="293">
        <f t="shared" si="3"/>
        <v>7541</v>
      </c>
      <c r="G22" s="462">
        <v>30000</v>
      </c>
      <c r="H22" s="509" t="s">
        <v>50</v>
      </c>
      <c r="I22" s="515">
        <v>4200</v>
      </c>
      <c r="J22" s="516">
        <f t="shared" si="4"/>
        <v>1.9949999999999999E-2</v>
      </c>
      <c r="K22" s="505">
        <v>500</v>
      </c>
      <c r="L22" s="517">
        <v>1</v>
      </c>
      <c r="M22" s="517">
        <v>1.2</v>
      </c>
      <c r="N22" s="517">
        <v>0.5</v>
      </c>
      <c r="O22" s="518">
        <f t="shared" si="5"/>
        <v>300</v>
      </c>
      <c r="P22" s="519">
        <v>0.25</v>
      </c>
    </row>
    <row r="23" spans="1:16" s="1" customFormat="1" ht="16.8">
      <c r="A23" s="459">
        <v>23</v>
      </c>
      <c r="B23" s="460" t="s">
        <v>66</v>
      </c>
      <c r="C23" s="463">
        <f t="shared" ref="C23:C37" si="9">D23+I23</f>
        <v>6283</v>
      </c>
      <c r="D23" s="462">
        <f t="shared" si="8"/>
        <v>2083</v>
      </c>
      <c r="E23" s="462">
        <f t="shared" si="2"/>
        <v>6740</v>
      </c>
      <c r="F23" s="284">
        <f t="shared" si="3"/>
        <v>2540</v>
      </c>
      <c r="G23" s="462">
        <v>0</v>
      </c>
      <c r="H23" s="308" t="s">
        <v>50</v>
      </c>
      <c r="I23" s="488">
        <v>4200</v>
      </c>
      <c r="J23" s="514">
        <f t="shared" si="4"/>
        <v>6.7200000000000003E-3</v>
      </c>
      <c r="K23" s="459">
        <v>200</v>
      </c>
      <c r="L23" s="489">
        <v>1</v>
      </c>
      <c r="M23" s="489">
        <v>1.01</v>
      </c>
      <c r="N23" s="489">
        <v>0.5</v>
      </c>
      <c r="O23" s="192">
        <f t="shared" si="5"/>
        <v>101</v>
      </c>
      <c r="P23" s="214">
        <v>0.25</v>
      </c>
    </row>
    <row r="24" spans="1:16" s="1" customFormat="1" ht="15.6">
      <c r="A24" s="459">
        <v>24</v>
      </c>
      <c r="B24" s="460" t="s">
        <v>67</v>
      </c>
      <c r="C24" s="463">
        <f t="shared" si="9"/>
        <v>3093</v>
      </c>
      <c r="D24" s="462">
        <f t="shared" si="8"/>
        <v>3093</v>
      </c>
      <c r="E24" s="462">
        <f t="shared" si="2"/>
        <v>3772</v>
      </c>
      <c r="F24" s="284">
        <f t="shared" si="3"/>
        <v>3772</v>
      </c>
      <c r="G24" s="462">
        <v>1718</v>
      </c>
      <c r="H24" s="296">
        <v>1244</v>
      </c>
      <c r="I24" s="488">
        <v>0</v>
      </c>
      <c r="J24" s="514">
        <f t="shared" si="4"/>
        <v>9.9799999999999993E-3</v>
      </c>
      <c r="K24" s="459">
        <v>300</v>
      </c>
      <c r="L24" s="489">
        <v>1</v>
      </c>
      <c r="M24" s="489">
        <v>1</v>
      </c>
      <c r="N24" s="489">
        <v>0.5</v>
      </c>
      <c r="O24" s="192">
        <f t="shared" si="5"/>
        <v>150</v>
      </c>
      <c r="P24" s="214">
        <v>0.25</v>
      </c>
    </row>
    <row r="25" spans="1:16" s="1" customFormat="1" ht="15.6">
      <c r="A25" s="459">
        <v>14</v>
      </c>
      <c r="B25" s="460" t="s">
        <v>68</v>
      </c>
      <c r="C25" s="463">
        <f t="shared" si="9"/>
        <v>22056</v>
      </c>
      <c r="D25" s="462">
        <f t="shared" si="8"/>
        <v>22056</v>
      </c>
      <c r="E25" s="462">
        <f t="shared" si="2"/>
        <v>26898</v>
      </c>
      <c r="F25" s="284">
        <f t="shared" si="3"/>
        <v>26898</v>
      </c>
      <c r="G25" s="462">
        <v>24036</v>
      </c>
      <c r="H25" s="296">
        <v>7167</v>
      </c>
      <c r="I25" s="488">
        <v>0</v>
      </c>
      <c r="J25" s="514">
        <f t="shared" si="4"/>
        <v>7.1160000000000001E-2</v>
      </c>
      <c r="K25" s="459">
        <v>2000</v>
      </c>
      <c r="L25" s="489">
        <v>1</v>
      </c>
      <c r="M25" s="489">
        <v>1.07</v>
      </c>
      <c r="N25" s="489">
        <v>0.5</v>
      </c>
      <c r="O25" s="192">
        <f t="shared" si="5"/>
        <v>1070</v>
      </c>
      <c r="P25" s="214">
        <v>0.5</v>
      </c>
    </row>
    <row r="26" spans="1:16" s="64" customFormat="1" ht="15.6">
      <c r="A26" s="459">
        <v>15</v>
      </c>
      <c r="B26" s="460" t="s">
        <v>69</v>
      </c>
      <c r="C26" s="463">
        <f t="shared" si="9"/>
        <v>6184</v>
      </c>
      <c r="D26" s="462">
        <f t="shared" si="8"/>
        <v>6184</v>
      </c>
      <c r="E26" s="462">
        <f t="shared" si="2"/>
        <v>7541</v>
      </c>
      <c r="F26" s="284">
        <f t="shared" si="3"/>
        <v>7541</v>
      </c>
      <c r="G26" s="462">
        <v>2945</v>
      </c>
      <c r="H26" s="296">
        <v>985</v>
      </c>
      <c r="I26" s="488">
        <v>0</v>
      </c>
      <c r="J26" s="514">
        <f t="shared" si="4"/>
        <v>1.9949999999999999E-2</v>
      </c>
      <c r="K26" s="459">
        <v>600</v>
      </c>
      <c r="L26" s="489">
        <v>1</v>
      </c>
      <c r="M26" s="489">
        <v>1</v>
      </c>
      <c r="N26" s="489">
        <v>0.5</v>
      </c>
      <c r="O26" s="192">
        <f t="shared" si="5"/>
        <v>300</v>
      </c>
      <c r="P26" s="214">
        <v>0.5</v>
      </c>
    </row>
    <row r="27" spans="1:16" s="1" customFormat="1" ht="15.6">
      <c r="A27" s="459">
        <v>16</v>
      </c>
      <c r="B27" s="460" t="s">
        <v>70</v>
      </c>
      <c r="C27" s="504">
        <f t="shared" si="9"/>
        <v>13950</v>
      </c>
      <c r="D27" s="296">
        <v>9750</v>
      </c>
      <c r="E27" s="302">
        <f t="shared" si="2"/>
        <v>9379</v>
      </c>
      <c r="F27" s="284">
        <f t="shared" si="3"/>
        <v>5179</v>
      </c>
      <c r="G27" s="462">
        <v>10164</v>
      </c>
      <c r="H27" s="296">
        <v>9750</v>
      </c>
      <c r="I27" s="488">
        <v>4200</v>
      </c>
      <c r="J27" s="514">
        <f t="shared" si="4"/>
        <v>1.37E-2</v>
      </c>
      <c r="K27" s="459">
        <v>400</v>
      </c>
      <c r="L27" s="489">
        <v>1</v>
      </c>
      <c r="M27" s="459">
        <v>1.03</v>
      </c>
      <c r="N27" s="489">
        <v>0.5</v>
      </c>
      <c r="O27" s="192">
        <f t="shared" si="5"/>
        <v>206</v>
      </c>
      <c r="P27" s="214">
        <v>0.5</v>
      </c>
    </row>
    <row r="28" spans="1:16" s="501" customFormat="1" ht="15.6">
      <c r="A28" s="505">
        <v>17</v>
      </c>
      <c r="B28" s="506" t="s">
        <v>71</v>
      </c>
      <c r="C28" s="507">
        <f t="shared" si="9"/>
        <v>23681</v>
      </c>
      <c r="D28" s="508">
        <f>F28*(1-0.18)</f>
        <v>19481</v>
      </c>
      <c r="E28" s="508">
        <f t="shared" si="2"/>
        <v>27957</v>
      </c>
      <c r="F28" s="293">
        <f t="shared" si="3"/>
        <v>23757</v>
      </c>
      <c r="G28" s="462">
        <v>45770</v>
      </c>
      <c r="H28" s="510">
        <v>50</v>
      </c>
      <c r="I28" s="515">
        <v>4200</v>
      </c>
      <c r="J28" s="516">
        <f t="shared" si="4"/>
        <v>6.2850000000000003E-2</v>
      </c>
      <c r="K28" s="505">
        <v>1800</v>
      </c>
      <c r="L28" s="517">
        <v>1</v>
      </c>
      <c r="M28" s="505">
        <v>1.05</v>
      </c>
      <c r="N28" s="517">
        <v>0.5</v>
      </c>
      <c r="O28" s="518">
        <f t="shared" si="5"/>
        <v>945</v>
      </c>
      <c r="P28" s="519">
        <v>0.5</v>
      </c>
    </row>
    <row r="29" spans="1:16" s="1" customFormat="1" ht="15.6">
      <c r="A29" s="459">
        <v>18</v>
      </c>
      <c r="B29" s="460" t="s">
        <v>72</v>
      </c>
      <c r="C29" s="504">
        <f t="shared" si="9"/>
        <v>13234</v>
      </c>
      <c r="D29" s="296">
        <v>13234</v>
      </c>
      <c r="E29" s="302">
        <f t="shared" si="2"/>
        <v>7919</v>
      </c>
      <c r="F29" s="284">
        <f t="shared" si="3"/>
        <v>7919</v>
      </c>
      <c r="G29" s="462">
        <v>13534</v>
      </c>
      <c r="H29" s="296">
        <v>13234</v>
      </c>
      <c r="I29" s="488">
        <v>0</v>
      </c>
      <c r="J29" s="514">
        <f t="shared" si="4"/>
        <v>2.095E-2</v>
      </c>
      <c r="K29" s="459">
        <v>600</v>
      </c>
      <c r="L29" s="489">
        <v>1</v>
      </c>
      <c r="M29" s="459">
        <v>1.05</v>
      </c>
      <c r="N29" s="489">
        <v>0.5</v>
      </c>
      <c r="O29" s="192">
        <f t="shared" si="5"/>
        <v>315</v>
      </c>
      <c r="P29" s="214">
        <v>0.5</v>
      </c>
    </row>
    <row r="30" spans="1:16" s="1" customFormat="1" ht="15.6">
      <c r="A30" s="459">
        <v>19</v>
      </c>
      <c r="B30" s="460" t="s">
        <v>73</v>
      </c>
      <c r="C30" s="504">
        <f t="shared" si="9"/>
        <v>27782</v>
      </c>
      <c r="D30" s="296">
        <v>27782</v>
      </c>
      <c r="E30" s="302">
        <f t="shared" si="2"/>
        <v>9151</v>
      </c>
      <c r="F30" s="284">
        <f t="shared" si="3"/>
        <v>9151</v>
      </c>
      <c r="G30" s="462">
        <v>27782</v>
      </c>
      <c r="H30" s="296">
        <v>27782</v>
      </c>
      <c r="I30" s="488">
        <v>0</v>
      </c>
      <c r="J30" s="514">
        <f t="shared" si="4"/>
        <v>2.4209999999999999E-2</v>
      </c>
      <c r="K30" s="459">
        <v>700</v>
      </c>
      <c r="L30" s="489">
        <v>1</v>
      </c>
      <c r="M30" s="459">
        <v>1.04</v>
      </c>
      <c r="N30" s="489">
        <v>0.5</v>
      </c>
      <c r="O30" s="192">
        <f t="shared" si="5"/>
        <v>364</v>
      </c>
      <c r="P30" s="214">
        <v>0.5</v>
      </c>
    </row>
    <row r="31" spans="1:16" s="501" customFormat="1" ht="15.6">
      <c r="A31" s="505">
        <v>25</v>
      </c>
      <c r="B31" s="506" t="s">
        <v>74</v>
      </c>
      <c r="C31" s="507">
        <f t="shared" si="9"/>
        <v>15796</v>
      </c>
      <c r="D31" s="508">
        <f>F31*(1-0.18)</f>
        <v>11596</v>
      </c>
      <c r="E31" s="508">
        <f t="shared" si="2"/>
        <v>18341</v>
      </c>
      <c r="F31" s="293">
        <f t="shared" si="3"/>
        <v>14141</v>
      </c>
      <c r="G31" s="462">
        <v>11898</v>
      </c>
      <c r="H31" s="510">
        <v>6898</v>
      </c>
      <c r="I31" s="515">
        <v>4200</v>
      </c>
      <c r="J31" s="516">
        <f t="shared" si="4"/>
        <v>3.7409999999999999E-2</v>
      </c>
      <c r="K31" s="505">
        <v>1125</v>
      </c>
      <c r="L31" s="517">
        <v>1</v>
      </c>
      <c r="M31" s="517">
        <v>1</v>
      </c>
      <c r="N31" s="517">
        <v>0.5</v>
      </c>
      <c r="O31" s="518">
        <f t="shared" si="5"/>
        <v>562.5</v>
      </c>
      <c r="P31" s="519">
        <v>0.5</v>
      </c>
    </row>
    <row r="32" spans="1:16" s="1" customFormat="1" ht="19.95" customHeight="1">
      <c r="A32" s="459">
        <v>20</v>
      </c>
      <c r="B32" s="460" t="s">
        <v>75</v>
      </c>
      <c r="C32" s="504">
        <f t="shared" si="9"/>
        <v>18900</v>
      </c>
      <c r="D32" s="296">
        <v>14700</v>
      </c>
      <c r="E32" s="462">
        <f t="shared" si="2"/>
        <v>15854</v>
      </c>
      <c r="F32" s="284">
        <f t="shared" si="3"/>
        <v>11654</v>
      </c>
      <c r="G32" s="462">
        <v>18453</v>
      </c>
      <c r="H32" s="296">
        <v>14700</v>
      </c>
      <c r="I32" s="488">
        <v>4200</v>
      </c>
      <c r="J32" s="514">
        <f t="shared" si="4"/>
        <v>3.083E-2</v>
      </c>
      <c r="K32" s="459">
        <v>900</v>
      </c>
      <c r="L32" s="489">
        <v>1</v>
      </c>
      <c r="M32" s="489">
        <v>1.03</v>
      </c>
      <c r="N32" s="489">
        <v>0.5</v>
      </c>
      <c r="O32" s="192">
        <f t="shared" si="5"/>
        <v>463.5</v>
      </c>
      <c r="P32" s="214">
        <v>0.5</v>
      </c>
    </row>
    <row r="33" spans="1:16" s="502" customFormat="1" ht="15.6">
      <c r="A33" s="505">
        <v>26</v>
      </c>
      <c r="B33" s="506" t="s">
        <v>76</v>
      </c>
      <c r="C33" s="507">
        <f t="shared" si="9"/>
        <v>9405</v>
      </c>
      <c r="D33" s="508">
        <f>F33*(1-0.18)</f>
        <v>5205</v>
      </c>
      <c r="E33" s="508">
        <f t="shared" si="2"/>
        <v>10547</v>
      </c>
      <c r="F33" s="293">
        <f t="shared" si="3"/>
        <v>6347</v>
      </c>
      <c r="G33" s="462">
        <v>5890</v>
      </c>
      <c r="H33" s="510">
        <v>4930</v>
      </c>
      <c r="I33" s="515">
        <v>4200</v>
      </c>
      <c r="J33" s="516">
        <f t="shared" si="4"/>
        <v>1.6789999999999999E-2</v>
      </c>
      <c r="K33" s="505">
        <v>500</v>
      </c>
      <c r="L33" s="517">
        <v>1</v>
      </c>
      <c r="M33" s="517">
        <v>1.01</v>
      </c>
      <c r="N33" s="517">
        <v>0.5</v>
      </c>
      <c r="O33" s="518">
        <f t="shared" si="5"/>
        <v>252.5</v>
      </c>
      <c r="P33" s="519">
        <v>0.5</v>
      </c>
    </row>
    <row r="34" spans="1:16" s="1" customFormat="1" ht="15.6">
      <c r="A34" s="459">
        <v>27</v>
      </c>
      <c r="B34" s="460" t="s">
        <v>77</v>
      </c>
      <c r="C34" s="504">
        <f t="shared" si="9"/>
        <v>10000</v>
      </c>
      <c r="D34" s="299">
        <v>10000</v>
      </c>
      <c r="E34" s="302">
        <f t="shared" si="2"/>
        <v>6347</v>
      </c>
      <c r="F34" s="284">
        <f t="shared" si="3"/>
        <v>6347</v>
      </c>
      <c r="G34" s="462">
        <v>10000</v>
      </c>
      <c r="H34" s="299">
        <v>10000</v>
      </c>
      <c r="I34" s="488">
        <v>0</v>
      </c>
      <c r="J34" s="514">
        <f t="shared" si="4"/>
        <v>1.6789999999999999E-2</v>
      </c>
      <c r="K34" s="459">
        <v>500</v>
      </c>
      <c r="L34" s="489">
        <v>1</v>
      </c>
      <c r="M34" s="489">
        <v>1.01</v>
      </c>
      <c r="N34" s="489">
        <v>0.5</v>
      </c>
      <c r="O34" s="192">
        <f t="shared" si="5"/>
        <v>252.5</v>
      </c>
      <c r="P34" s="214">
        <v>0.5</v>
      </c>
    </row>
    <row r="35" spans="1:16" s="1" customFormat="1" ht="15.6">
      <c r="A35" s="459">
        <v>28</v>
      </c>
      <c r="B35" s="460" t="s">
        <v>78</v>
      </c>
      <c r="C35" s="463">
        <f t="shared" si="9"/>
        <v>9463</v>
      </c>
      <c r="D35" s="462">
        <f>F35*(1-0.18)</f>
        <v>9463</v>
      </c>
      <c r="E35" s="462">
        <f t="shared" si="2"/>
        <v>11540</v>
      </c>
      <c r="F35" s="284">
        <f t="shared" si="3"/>
        <v>11540</v>
      </c>
      <c r="G35" s="462">
        <v>7068</v>
      </c>
      <c r="H35" s="296">
        <v>7068</v>
      </c>
      <c r="I35" s="488">
        <v>0</v>
      </c>
      <c r="J35" s="514">
        <f t="shared" si="4"/>
        <v>3.0530000000000002E-2</v>
      </c>
      <c r="K35" s="459">
        <v>900</v>
      </c>
      <c r="L35" s="489">
        <v>1</v>
      </c>
      <c r="M35" s="489">
        <v>1.02</v>
      </c>
      <c r="N35" s="489">
        <v>0.5</v>
      </c>
      <c r="O35" s="192">
        <f t="shared" si="5"/>
        <v>459</v>
      </c>
      <c r="P35" s="214">
        <v>0.5</v>
      </c>
    </row>
    <row r="36" spans="1:16" s="1" customFormat="1" ht="16.8">
      <c r="A36" s="459">
        <v>29</v>
      </c>
      <c r="B36" s="471" t="s">
        <v>79</v>
      </c>
      <c r="C36" s="463">
        <f t="shared" si="9"/>
        <v>1444</v>
      </c>
      <c r="D36" s="462">
        <f>F36*(1-0.18)</f>
        <v>1444</v>
      </c>
      <c r="E36" s="462">
        <f t="shared" si="2"/>
        <v>1761</v>
      </c>
      <c r="F36" s="284">
        <f t="shared" si="3"/>
        <v>1761</v>
      </c>
      <c r="G36" s="462">
        <v>1649</v>
      </c>
      <c r="H36" s="308" t="s">
        <v>50</v>
      </c>
      <c r="I36" s="488">
        <v>0</v>
      </c>
      <c r="J36" s="514">
        <f t="shared" si="4"/>
        <v>4.6600000000000001E-3</v>
      </c>
      <c r="K36" s="459">
        <v>140</v>
      </c>
      <c r="L36" s="489">
        <v>1</v>
      </c>
      <c r="M36" s="489">
        <v>1</v>
      </c>
      <c r="N36" s="489">
        <v>0.5</v>
      </c>
      <c r="O36" s="192">
        <f t="shared" si="5"/>
        <v>70</v>
      </c>
      <c r="P36" s="214">
        <v>0.5</v>
      </c>
    </row>
    <row r="37" spans="1:16" s="163" customFormat="1" ht="31.2">
      <c r="A37" s="472"/>
      <c r="B37" s="473" t="s">
        <v>80</v>
      </c>
      <c r="C37" s="463">
        <f t="shared" si="9"/>
        <v>0</v>
      </c>
      <c r="D37" s="462">
        <f t="shared" si="7"/>
        <v>0</v>
      </c>
      <c r="E37" s="462">
        <f t="shared" si="2"/>
        <v>0</v>
      </c>
      <c r="F37" s="284">
        <f t="shared" si="3"/>
        <v>0</v>
      </c>
      <c r="G37" s="468"/>
      <c r="H37" s="475"/>
      <c r="I37" s="494"/>
      <c r="J37" s="514">
        <f t="shared" si="4"/>
        <v>0</v>
      </c>
      <c r="K37" s="474"/>
      <c r="L37" s="474"/>
      <c r="M37" s="474"/>
      <c r="N37" s="474"/>
      <c r="O37" s="192">
        <f t="shared" si="5"/>
        <v>0</v>
      </c>
      <c r="P37" s="229"/>
    </row>
    <row r="38" spans="1:16" s="64" customFormat="1" ht="15.6">
      <c r="A38" s="476"/>
      <c r="B38" s="477"/>
      <c r="C38" s="236"/>
      <c r="D38" s="478"/>
      <c r="E38" s="479"/>
      <c r="F38" s="186"/>
      <c r="G38" s="480"/>
      <c r="H38" s="175"/>
      <c r="I38" s="498"/>
      <c r="J38" s="520"/>
      <c r="K38" s="479"/>
      <c r="L38" s="479"/>
      <c r="M38" s="479"/>
      <c r="N38" s="479"/>
      <c r="O38" s="233"/>
      <c r="P38" s="232"/>
    </row>
    <row r="40" spans="1:16" s="1" customFormat="1">
      <c r="A40" s="164"/>
      <c r="B40" s="442"/>
      <c r="C40" s="481"/>
      <c r="D40" s="168"/>
      <c r="E40" s="164"/>
      <c r="F40" s="167"/>
      <c r="G40" s="443"/>
      <c r="H40" s="169"/>
      <c r="I40" s="444"/>
      <c r="J40" s="503"/>
      <c r="K40" s="164"/>
      <c r="L40" s="164"/>
      <c r="M40" s="164"/>
      <c r="N40" s="164"/>
      <c r="O40" s="5"/>
      <c r="P40" s="234"/>
    </row>
    <row r="41" spans="1:16" s="1" customFormat="1">
      <c r="A41" s="164"/>
      <c r="B41" s="442"/>
      <c r="C41" s="234"/>
      <c r="D41" s="168"/>
      <c r="E41" s="164"/>
      <c r="F41" s="167"/>
      <c r="G41" s="443"/>
      <c r="H41" s="208"/>
      <c r="I41" s="444"/>
      <c r="J41" s="503"/>
      <c r="K41" s="164"/>
      <c r="L41" s="164"/>
      <c r="M41" s="164"/>
      <c r="N41" s="164"/>
      <c r="O41" s="5"/>
      <c r="P41"/>
    </row>
  </sheetData>
  <mergeCells count="1">
    <mergeCell ref="A3:N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workbookViewId="0">
      <selection activeCell="L12" sqref="L12"/>
    </sheetView>
  </sheetViews>
  <sheetFormatPr defaultColWidth="9" defaultRowHeight="14.4"/>
  <cols>
    <col min="1" max="1" width="6.6640625" style="164" customWidth="1"/>
    <col min="2" max="2" width="15.21875" style="442" customWidth="1"/>
    <col min="3" max="3" width="10.44140625" style="234" customWidth="1"/>
    <col min="4" max="4" width="14.44140625" style="168" hidden="1" customWidth="1"/>
    <col min="5" max="5" width="13.21875" style="164" hidden="1" customWidth="1"/>
    <col min="6" max="6" width="1.88671875" style="167" hidden="1" customWidth="1"/>
    <col min="7" max="7" width="8.77734375" style="443" customWidth="1"/>
    <col min="8" max="8" width="7.88671875" style="169" customWidth="1"/>
    <col min="9" max="9" width="7.77734375" style="444" customWidth="1"/>
    <col min="10" max="10" width="8.88671875" style="170" customWidth="1"/>
    <col min="11" max="11" width="9.44140625" style="164" customWidth="1"/>
    <col min="12" max="12" width="6.6640625" style="164" customWidth="1"/>
    <col min="13" max="13" width="7.33203125" style="164" customWidth="1"/>
    <col min="14" max="14" width="8.88671875" style="164" customWidth="1"/>
    <col min="15" max="15" width="14.109375" style="5" customWidth="1"/>
    <col min="16" max="16" width="17.21875" customWidth="1"/>
    <col min="17" max="30" width="9" style="1"/>
  </cols>
  <sheetData>
    <row r="1" spans="1:16" ht="17.399999999999999">
      <c r="A1" s="445" t="s">
        <v>34</v>
      </c>
      <c r="B1" s="446"/>
      <c r="C1" s="447"/>
      <c r="D1" s="448"/>
      <c r="E1" s="449"/>
      <c r="F1" s="174"/>
      <c r="G1" s="450"/>
      <c r="H1" s="175"/>
      <c r="I1" s="482"/>
      <c r="J1" s="483"/>
      <c r="K1" s="449"/>
      <c r="L1" s="449"/>
      <c r="M1" s="449"/>
      <c r="N1" s="449"/>
    </row>
    <row r="2" spans="1:16">
      <c r="A2" s="451"/>
      <c r="B2" s="446"/>
      <c r="C2" s="447"/>
      <c r="D2" s="448"/>
      <c r="E2" s="449"/>
      <c r="F2" s="174"/>
      <c r="G2" s="450"/>
      <c r="H2" s="175"/>
      <c r="I2" s="482"/>
      <c r="J2" s="483"/>
      <c r="K2" s="449"/>
      <c r="L2" s="449"/>
      <c r="M2" s="449"/>
      <c r="N2" s="449"/>
    </row>
    <row r="3" spans="1:16" ht="20.399999999999999">
      <c r="A3" s="537" t="s">
        <v>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</row>
    <row r="4" spans="1:16" ht="17.399999999999999">
      <c r="A4" s="452"/>
      <c r="B4" s="453"/>
      <c r="C4" s="211"/>
      <c r="D4" s="454"/>
      <c r="E4" s="452"/>
      <c r="F4" s="179"/>
      <c r="G4" s="455"/>
      <c r="H4" s="180"/>
      <c r="I4" s="484"/>
      <c r="J4" s="485"/>
      <c r="K4" s="452"/>
      <c r="L4" s="452"/>
      <c r="M4" s="452"/>
      <c r="N4" s="452"/>
    </row>
    <row r="5" spans="1:16" s="235" customFormat="1" ht="67.5" customHeight="1">
      <c r="A5" s="456" t="s">
        <v>1</v>
      </c>
      <c r="B5" s="456" t="s">
        <v>2</v>
      </c>
      <c r="C5" s="213" t="s">
        <v>36</v>
      </c>
      <c r="D5" s="457" t="s">
        <v>37</v>
      </c>
      <c r="E5" s="456" t="s">
        <v>38</v>
      </c>
      <c r="F5" s="500" t="s">
        <v>39</v>
      </c>
      <c r="G5" s="457" t="s">
        <v>40</v>
      </c>
      <c r="H5" s="458" t="s">
        <v>5</v>
      </c>
      <c r="I5" s="486" t="s">
        <v>41</v>
      </c>
      <c r="J5" s="487" t="s">
        <v>42</v>
      </c>
      <c r="K5" s="456" t="s">
        <v>43</v>
      </c>
      <c r="L5" s="456" t="s">
        <v>44</v>
      </c>
      <c r="M5" s="456" t="s">
        <v>45</v>
      </c>
      <c r="N5" s="456" t="s">
        <v>4</v>
      </c>
      <c r="O5" s="213" t="s">
        <v>46</v>
      </c>
      <c r="P5" s="213" t="s">
        <v>47</v>
      </c>
    </row>
    <row r="6" spans="1:16" s="236" customFormat="1" ht="15.6">
      <c r="A6" s="459"/>
      <c r="B6" s="460" t="s">
        <v>48</v>
      </c>
      <c r="C6" s="461">
        <f>C19+C37</f>
        <v>420000</v>
      </c>
      <c r="D6" s="462">
        <f>SUM(D7:D37)</f>
        <v>318312</v>
      </c>
      <c r="E6" s="462">
        <f>SUM(E7:E37)</f>
        <v>420040</v>
      </c>
      <c r="F6" s="284">
        <f>SUM(F7:F36)</f>
        <v>378040</v>
      </c>
      <c r="G6" s="462"/>
      <c r="H6" s="296"/>
      <c r="I6" s="488">
        <f>SUM(I7:I37)</f>
        <v>42000</v>
      </c>
      <c r="J6" s="489">
        <f>SUM(J7:J37)</f>
        <v>1</v>
      </c>
      <c r="K6" s="459">
        <f>SUM(K7:K36)</f>
        <v>24330</v>
      </c>
      <c r="L6" s="459"/>
      <c r="M6" s="459"/>
      <c r="N6" s="459"/>
      <c r="O6" s="490">
        <f>SUM(O7:O37)</f>
        <v>14718.93</v>
      </c>
      <c r="P6" s="216"/>
    </row>
    <row r="7" spans="1:16" s="1" customFormat="1" ht="16.8">
      <c r="A7" s="459">
        <v>1</v>
      </c>
      <c r="B7" s="460" t="s">
        <v>49</v>
      </c>
      <c r="C7" s="463">
        <f>D7+I7</f>
        <v>1974</v>
      </c>
      <c r="D7" s="462">
        <f>F7*(1-0.158)</f>
        <v>1974</v>
      </c>
      <c r="E7" s="462">
        <f>SUM(F7+I7)</f>
        <v>2344</v>
      </c>
      <c r="F7" s="284">
        <f>(42-4.2)*10000*J7</f>
        <v>2344</v>
      </c>
      <c r="G7" s="462">
        <v>1099</v>
      </c>
      <c r="H7" s="308" t="s">
        <v>50</v>
      </c>
      <c r="I7" s="488">
        <v>0</v>
      </c>
      <c r="J7" s="491">
        <f>O7/14718.93</f>
        <v>6.1999999999999998E-3</v>
      </c>
      <c r="K7" s="459">
        <v>140</v>
      </c>
      <c r="L7" s="489">
        <v>1</v>
      </c>
      <c r="M7" s="489">
        <v>1</v>
      </c>
      <c r="N7" s="489">
        <v>0.65</v>
      </c>
      <c r="O7" s="192">
        <f t="shared" ref="O7:O36" si="0">K7*L7*M7*N7</f>
        <v>91</v>
      </c>
      <c r="P7" s="214">
        <v>0.65</v>
      </c>
    </row>
    <row r="8" spans="1:16" s="1" customFormat="1" ht="16.8">
      <c r="A8" s="459">
        <v>2</v>
      </c>
      <c r="B8" s="460" t="s">
        <v>51</v>
      </c>
      <c r="C8" s="463">
        <f t="shared" ref="C8:C11" si="1">D8+I8</f>
        <v>1751</v>
      </c>
      <c r="D8" s="462">
        <f t="shared" ref="D8:D37" si="2">F8*(1-0.158)</f>
        <v>1751</v>
      </c>
      <c r="E8" s="462">
        <f t="shared" ref="E8:E37" si="3">SUM(F8+I8)</f>
        <v>2079</v>
      </c>
      <c r="F8" s="284">
        <f t="shared" ref="F8:F37" si="4">(42-4.2)*10000*J8</f>
        <v>2079</v>
      </c>
      <c r="G8" s="462">
        <v>982</v>
      </c>
      <c r="H8" s="308" t="s">
        <v>50</v>
      </c>
      <c r="I8" s="488">
        <v>0</v>
      </c>
      <c r="J8" s="491">
        <f t="shared" ref="J8:J36" si="5">O8/14718.93</f>
        <v>5.4999999999999997E-3</v>
      </c>
      <c r="K8" s="459">
        <v>125</v>
      </c>
      <c r="L8" s="489">
        <v>1</v>
      </c>
      <c r="M8" s="489">
        <v>1</v>
      </c>
      <c r="N8" s="489">
        <v>0.65</v>
      </c>
      <c r="O8" s="192">
        <f t="shared" si="0"/>
        <v>81.25</v>
      </c>
      <c r="P8" s="214">
        <v>0.65</v>
      </c>
    </row>
    <row r="9" spans="1:16" s="1" customFormat="1" ht="15.6">
      <c r="A9" s="459">
        <v>3</v>
      </c>
      <c r="B9" s="460" t="s">
        <v>52</v>
      </c>
      <c r="C9" s="463">
        <f t="shared" si="1"/>
        <v>37237</v>
      </c>
      <c r="D9" s="462">
        <f t="shared" si="2"/>
        <v>33737</v>
      </c>
      <c r="E9" s="462">
        <f t="shared" si="3"/>
        <v>43568</v>
      </c>
      <c r="F9" s="284">
        <f t="shared" si="4"/>
        <v>40068</v>
      </c>
      <c r="G9" s="462">
        <v>22077</v>
      </c>
      <c r="H9" s="296">
        <v>12199</v>
      </c>
      <c r="I9" s="488">
        <v>3500</v>
      </c>
      <c r="J9" s="491">
        <f t="shared" si="5"/>
        <v>0.106</v>
      </c>
      <c r="K9" s="459">
        <v>2000</v>
      </c>
      <c r="L9" s="489">
        <v>1</v>
      </c>
      <c r="M9" s="489">
        <v>1.2</v>
      </c>
      <c r="N9" s="489">
        <v>0.65</v>
      </c>
      <c r="O9" s="192">
        <f t="shared" si="0"/>
        <v>1560</v>
      </c>
      <c r="P9" s="214">
        <v>0.65</v>
      </c>
    </row>
    <row r="10" spans="1:16" s="1" customFormat="1" ht="16.8">
      <c r="A10" s="459">
        <v>4</v>
      </c>
      <c r="B10" s="460" t="s">
        <v>53</v>
      </c>
      <c r="C10" s="463">
        <f t="shared" si="1"/>
        <v>1400</v>
      </c>
      <c r="D10" s="462">
        <f t="shared" si="2"/>
        <v>1400</v>
      </c>
      <c r="E10" s="462">
        <f t="shared" si="3"/>
        <v>1663</v>
      </c>
      <c r="F10" s="284">
        <f t="shared" si="4"/>
        <v>1663</v>
      </c>
      <c r="G10" s="462">
        <v>0</v>
      </c>
      <c r="H10" s="308" t="s">
        <v>50</v>
      </c>
      <c r="I10" s="488">
        <v>0</v>
      </c>
      <c r="J10" s="491">
        <f t="shared" si="5"/>
        <v>4.4000000000000003E-3</v>
      </c>
      <c r="K10" s="459">
        <v>100</v>
      </c>
      <c r="L10" s="489">
        <v>1</v>
      </c>
      <c r="M10" s="489">
        <v>1</v>
      </c>
      <c r="N10" s="489">
        <v>0.65</v>
      </c>
      <c r="O10" s="192">
        <f t="shared" si="0"/>
        <v>65</v>
      </c>
      <c r="P10" s="214">
        <v>0.65</v>
      </c>
    </row>
    <row r="11" spans="1:16" s="1" customFormat="1" ht="15.6">
      <c r="A11" s="459">
        <v>5</v>
      </c>
      <c r="B11" s="460" t="s">
        <v>54</v>
      </c>
      <c r="C11" s="463">
        <f t="shared" si="1"/>
        <v>13750</v>
      </c>
      <c r="D11" s="462">
        <f t="shared" si="2"/>
        <v>13750</v>
      </c>
      <c r="E11" s="462">
        <f t="shared" si="3"/>
        <v>16330</v>
      </c>
      <c r="F11" s="284">
        <f t="shared" si="4"/>
        <v>16330</v>
      </c>
      <c r="G11" s="462">
        <v>28104</v>
      </c>
      <c r="H11" s="296">
        <v>7481</v>
      </c>
      <c r="I11" s="488">
        <v>0</v>
      </c>
      <c r="J11" s="491">
        <f t="shared" si="5"/>
        <v>4.3200000000000002E-2</v>
      </c>
      <c r="K11" s="459">
        <v>950</v>
      </c>
      <c r="L11" s="489">
        <v>1</v>
      </c>
      <c r="M11" s="459">
        <v>1.03</v>
      </c>
      <c r="N11" s="489">
        <v>0.65</v>
      </c>
      <c r="O11" s="192">
        <f t="shared" si="0"/>
        <v>636.02499999999998</v>
      </c>
      <c r="P11" s="214">
        <v>0.5</v>
      </c>
    </row>
    <row r="12" spans="1:16" s="64" customFormat="1" ht="15.6">
      <c r="A12" s="301">
        <v>6</v>
      </c>
      <c r="B12" s="464" t="s">
        <v>56</v>
      </c>
      <c r="C12" s="465">
        <v>36490</v>
      </c>
      <c r="D12" s="462">
        <f t="shared" si="2"/>
        <v>11458</v>
      </c>
      <c r="E12" s="302">
        <f t="shared" si="3"/>
        <v>17108</v>
      </c>
      <c r="F12" s="284">
        <f t="shared" si="4"/>
        <v>13608</v>
      </c>
      <c r="G12" s="302">
        <v>46872</v>
      </c>
      <c r="H12" s="296">
        <v>36490</v>
      </c>
      <c r="I12" s="488">
        <v>3500</v>
      </c>
      <c r="J12" s="491">
        <f t="shared" si="5"/>
        <v>3.5999999999999997E-2</v>
      </c>
      <c r="K12" s="301">
        <v>800</v>
      </c>
      <c r="L12" s="328">
        <v>1</v>
      </c>
      <c r="M12" s="301">
        <v>1.02</v>
      </c>
      <c r="N12" s="328">
        <v>0.65</v>
      </c>
      <c r="O12" s="192">
        <f t="shared" si="0"/>
        <v>530.4</v>
      </c>
      <c r="P12" s="328">
        <v>0.5</v>
      </c>
    </row>
    <row r="13" spans="1:16" s="1" customFormat="1" ht="16.8">
      <c r="A13" s="459">
        <v>7</v>
      </c>
      <c r="B13" s="460" t="s">
        <v>57</v>
      </c>
      <c r="C13" s="463">
        <f>D13+I13</f>
        <v>37270</v>
      </c>
      <c r="D13" s="462">
        <f t="shared" si="2"/>
        <v>37270</v>
      </c>
      <c r="E13" s="462">
        <f t="shared" si="3"/>
        <v>44264</v>
      </c>
      <c r="F13" s="284">
        <f t="shared" si="4"/>
        <v>44264</v>
      </c>
      <c r="G13" s="462">
        <v>27657</v>
      </c>
      <c r="H13" s="308" t="s">
        <v>50</v>
      </c>
      <c r="I13" s="488">
        <v>0</v>
      </c>
      <c r="J13" s="491">
        <f t="shared" si="5"/>
        <v>0.1171</v>
      </c>
      <c r="K13" s="459">
        <v>2600</v>
      </c>
      <c r="L13" s="489">
        <v>1</v>
      </c>
      <c r="M13" s="489">
        <v>1.02</v>
      </c>
      <c r="N13" s="489">
        <v>0.65</v>
      </c>
      <c r="O13" s="192">
        <f t="shared" si="0"/>
        <v>1723.8</v>
      </c>
      <c r="P13" s="214">
        <v>0.65</v>
      </c>
    </row>
    <row r="14" spans="1:16" s="1" customFormat="1" ht="15.6">
      <c r="A14" s="459">
        <v>8</v>
      </c>
      <c r="B14" s="460" t="s">
        <v>58</v>
      </c>
      <c r="C14" s="463">
        <f t="shared" ref="C14:C18" si="6">D14+I14</f>
        <v>18968</v>
      </c>
      <c r="D14" s="462">
        <f t="shared" si="2"/>
        <v>15468</v>
      </c>
      <c r="E14" s="462">
        <f t="shared" si="3"/>
        <v>21871</v>
      </c>
      <c r="F14" s="284">
        <f t="shared" si="4"/>
        <v>18371</v>
      </c>
      <c r="G14" s="462">
        <v>15053</v>
      </c>
      <c r="H14" s="296">
        <v>11885</v>
      </c>
      <c r="I14" s="488">
        <v>3500</v>
      </c>
      <c r="J14" s="491">
        <f t="shared" si="5"/>
        <v>4.8599999999999997E-2</v>
      </c>
      <c r="K14" s="459">
        <v>1000</v>
      </c>
      <c r="L14" s="489">
        <v>1</v>
      </c>
      <c r="M14" s="489">
        <v>1.1000000000000001</v>
      </c>
      <c r="N14" s="489">
        <v>0.65</v>
      </c>
      <c r="O14" s="192">
        <f t="shared" si="0"/>
        <v>715</v>
      </c>
      <c r="P14" s="214">
        <v>0.5</v>
      </c>
    </row>
    <row r="15" spans="1:16" s="1" customFormat="1" ht="15.6">
      <c r="A15" s="459">
        <v>9</v>
      </c>
      <c r="B15" s="460" t="s">
        <v>59</v>
      </c>
      <c r="C15" s="463">
        <f t="shared" si="6"/>
        <v>50606</v>
      </c>
      <c r="D15" s="462">
        <f t="shared" si="2"/>
        <v>50606</v>
      </c>
      <c r="E15" s="462">
        <f t="shared" si="3"/>
        <v>60102</v>
      </c>
      <c r="F15" s="284">
        <f t="shared" si="4"/>
        <v>60102</v>
      </c>
      <c r="G15" s="462">
        <v>40000</v>
      </c>
      <c r="H15" s="296">
        <v>21397</v>
      </c>
      <c r="I15" s="493">
        <v>0</v>
      </c>
      <c r="J15" s="491">
        <f t="shared" si="5"/>
        <v>0.159</v>
      </c>
      <c r="K15" s="459">
        <v>3000</v>
      </c>
      <c r="L15" s="489">
        <v>1</v>
      </c>
      <c r="M15" s="489">
        <v>1.2</v>
      </c>
      <c r="N15" s="489">
        <v>0.65</v>
      </c>
      <c r="O15" s="192">
        <f t="shared" si="0"/>
        <v>2340</v>
      </c>
      <c r="P15" s="214">
        <v>0.5</v>
      </c>
    </row>
    <row r="16" spans="1:16" s="1" customFormat="1" ht="16.8">
      <c r="A16" s="459">
        <v>10</v>
      </c>
      <c r="B16" s="460" t="s">
        <v>55</v>
      </c>
      <c r="C16" s="463">
        <f t="shared" si="6"/>
        <v>12285</v>
      </c>
      <c r="D16" s="462">
        <f t="shared" si="2"/>
        <v>8785</v>
      </c>
      <c r="E16" s="462">
        <f t="shared" si="3"/>
        <v>13933</v>
      </c>
      <c r="F16" s="284">
        <f t="shared" si="4"/>
        <v>10433</v>
      </c>
      <c r="G16" s="462">
        <v>5743</v>
      </c>
      <c r="H16" s="308" t="s">
        <v>50</v>
      </c>
      <c r="I16" s="488">
        <v>3500</v>
      </c>
      <c r="J16" s="491">
        <f t="shared" si="5"/>
        <v>2.76E-2</v>
      </c>
      <c r="K16" s="459">
        <v>600</v>
      </c>
      <c r="L16" s="489">
        <v>1</v>
      </c>
      <c r="M16" s="489">
        <v>1.04</v>
      </c>
      <c r="N16" s="489">
        <v>0.65</v>
      </c>
      <c r="O16" s="192">
        <f t="shared" si="0"/>
        <v>405.6</v>
      </c>
      <c r="P16" s="214">
        <v>0.65</v>
      </c>
    </row>
    <row r="17" spans="1:16" s="1" customFormat="1" ht="16.8">
      <c r="A17" s="459">
        <v>11</v>
      </c>
      <c r="B17" s="460" t="s">
        <v>60</v>
      </c>
      <c r="C17" s="463">
        <f t="shared" si="6"/>
        <v>11458</v>
      </c>
      <c r="D17" s="462">
        <f t="shared" si="2"/>
        <v>11458</v>
      </c>
      <c r="E17" s="462">
        <f t="shared" si="3"/>
        <v>13608</v>
      </c>
      <c r="F17" s="284">
        <f t="shared" si="4"/>
        <v>13608</v>
      </c>
      <c r="G17" s="462">
        <v>0</v>
      </c>
      <c r="H17" s="308" t="s">
        <v>50</v>
      </c>
      <c r="J17" s="491">
        <f t="shared" si="5"/>
        <v>3.5999999999999997E-2</v>
      </c>
      <c r="K17" s="459">
        <v>800</v>
      </c>
      <c r="L17" s="489">
        <v>1</v>
      </c>
      <c r="M17" s="489">
        <v>1.02</v>
      </c>
      <c r="N17" s="489">
        <v>0.65</v>
      </c>
      <c r="O17" s="192">
        <f t="shared" si="0"/>
        <v>530.4</v>
      </c>
      <c r="P17" s="214">
        <v>0.65</v>
      </c>
    </row>
    <row r="18" spans="1:16" s="1" customFormat="1" ht="15.6">
      <c r="A18" s="459">
        <v>12</v>
      </c>
      <c r="B18" s="460" t="s">
        <v>61</v>
      </c>
      <c r="C18" s="463">
        <f t="shared" si="6"/>
        <v>4805</v>
      </c>
      <c r="D18" s="462">
        <f t="shared" si="2"/>
        <v>1305</v>
      </c>
      <c r="E18" s="462">
        <f t="shared" si="3"/>
        <v>5050</v>
      </c>
      <c r="F18" s="284">
        <f t="shared" si="4"/>
        <v>1550</v>
      </c>
      <c r="G18" s="462">
        <v>10000</v>
      </c>
      <c r="H18" s="296">
        <v>25</v>
      </c>
      <c r="I18" s="488">
        <v>3500</v>
      </c>
      <c r="J18" s="491">
        <f t="shared" si="5"/>
        <v>4.1000000000000003E-3</v>
      </c>
      <c r="K18" s="459">
        <v>90</v>
      </c>
      <c r="L18" s="489">
        <v>1</v>
      </c>
      <c r="M18" s="489">
        <v>1.03</v>
      </c>
      <c r="N18" s="489">
        <v>0.65</v>
      </c>
      <c r="O18" s="192">
        <f t="shared" si="0"/>
        <v>60.255000000000003</v>
      </c>
      <c r="P18" s="214">
        <v>0.65</v>
      </c>
    </row>
    <row r="19" spans="1:16" s="237" customFormat="1" ht="33" customHeight="1">
      <c r="A19" s="466"/>
      <c r="B19" s="467" t="s">
        <v>62</v>
      </c>
      <c r="C19" s="463">
        <f>SUM(C7:C18)</f>
        <v>227994</v>
      </c>
      <c r="D19" s="462">
        <f t="shared" si="2"/>
        <v>0</v>
      </c>
      <c r="E19" s="462">
        <f t="shared" si="3"/>
        <v>0</v>
      </c>
      <c r="F19" s="284">
        <f t="shared" si="4"/>
        <v>0</v>
      </c>
      <c r="G19" s="468"/>
      <c r="H19" s="465"/>
      <c r="I19" s="494"/>
      <c r="J19" s="491">
        <f t="shared" si="5"/>
        <v>0</v>
      </c>
      <c r="K19" s="474"/>
      <c r="L19" s="495"/>
      <c r="M19" s="495"/>
      <c r="N19" s="495"/>
      <c r="O19" s="192">
        <f t="shared" si="0"/>
        <v>0</v>
      </c>
      <c r="P19" s="228"/>
    </row>
    <row r="20" spans="1:16" s="1" customFormat="1" ht="15.6">
      <c r="A20" s="459">
        <v>13</v>
      </c>
      <c r="B20" s="460" t="s">
        <v>63</v>
      </c>
      <c r="C20" s="463">
        <f>D20+I20</f>
        <v>6620</v>
      </c>
      <c r="D20" s="462">
        <f t="shared" si="2"/>
        <v>6620</v>
      </c>
      <c r="E20" s="462">
        <f t="shared" si="3"/>
        <v>7862</v>
      </c>
      <c r="F20" s="284">
        <f t="shared" si="4"/>
        <v>7862</v>
      </c>
      <c r="G20" s="462">
        <v>5890</v>
      </c>
      <c r="H20" s="296">
        <v>5890</v>
      </c>
      <c r="I20" s="488">
        <v>0</v>
      </c>
      <c r="J20" s="491">
        <f t="shared" si="5"/>
        <v>2.0799999999999999E-2</v>
      </c>
      <c r="K20" s="459">
        <v>600</v>
      </c>
      <c r="L20" s="489">
        <v>1</v>
      </c>
      <c r="M20" s="489">
        <v>1.02</v>
      </c>
      <c r="N20" s="489">
        <v>0.5</v>
      </c>
      <c r="O20" s="192">
        <f t="shared" si="0"/>
        <v>306</v>
      </c>
      <c r="P20" s="214">
        <v>0.65</v>
      </c>
    </row>
    <row r="21" spans="1:16" s="1" customFormat="1" ht="15.6">
      <c r="A21" s="459">
        <v>14</v>
      </c>
      <c r="B21" s="460" t="s">
        <v>68</v>
      </c>
      <c r="C21" s="463">
        <f t="shared" ref="C21:C22" si="7">D21+I21</f>
        <v>23139</v>
      </c>
      <c r="D21" s="462">
        <f t="shared" si="2"/>
        <v>23139</v>
      </c>
      <c r="E21" s="462">
        <f t="shared" si="3"/>
        <v>27481</v>
      </c>
      <c r="F21" s="284">
        <f t="shared" si="4"/>
        <v>27481</v>
      </c>
      <c r="G21" s="462">
        <v>24036</v>
      </c>
      <c r="H21" s="296">
        <v>7167</v>
      </c>
      <c r="I21" s="488">
        <v>0</v>
      </c>
      <c r="J21" s="491">
        <f t="shared" si="5"/>
        <v>7.2700000000000001E-2</v>
      </c>
      <c r="K21" s="459">
        <v>2000</v>
      </c>
      <c r="L21" s="489">
        <v>1</v>
      </c>
      <c r="M21" s="489">
        <v>1.07</v>
      </c>
      <c r="N21" s="489">
        <v>0.5</v>
      </c>
      <c r="O21" s="192">
        <f t="shared" si="0"/>
        <v>1070</v>
      </c>
      <c r="P21" s="214">
        <v>0.5</v>
      </c>
    </row>
    <row r="22" spans="1:16" s="64" customFormat="1" ht="15.6">
      <c r="A22" s="459">
        <v>15</v>
      </c>
      <c r="B22" s="460" t="s">
        <v>69</v>
      </c>
      <c r="C22" s="463">
        <f t="shared" si="7"/>
        <v>6493</v>
      </c>
      <c r="D22" s="462">
        <f t="shared" si="2"/>
        <v>6493</v>
      </c>
      <c r="E22" s="462">
        <f t="shared" si="3"/>
        <v>7711</v>
      </c>
      <c r="F22" s="284">
        <f t="shared" si="4"/>
        <v>7711</v>
      </c>
      <c r="G22" s="462">
        <v>2945</v>
      </c>
      <c r="H22" s="296">
        <v>985</v>
      </c>
      <c r="I22" s="488">
        <v>0</v>
      </c>
      <c r="J22" s="491">
        <f t="shared" si="5"/>
        <v>2.0400000000000001E-2</v>
      </c>
      <c r="K22" s="459">
        <v>600</v>
      </c>
      <c r="L22" s="489">
        <v>1</v>
      </c>
      <c r="M22" s="489">
        <v>1</v>
      </c>
      <c r="N22" s="489">
        <v>0.5</v>
      </c>
      <c r="O22" s="192">
        <f t="shared" si="0"/>
        <v>300</v>
      </c>
      <c r="P22" s="214">
        <v>0.5</v>
      </c>
    </row>
    <row r="23" spans="1:16" s="1" customFormat="1" ht="15.6">
      <c r="A23" s="459">
        <v>16</v>
      </c>
      <c r="B23" s="460" t="s">
        <v>70</v>
      </c>
      <c r="C23" s="465">
        <v>9750</v>
      </c>
      <c r="D23" s="462">
        <f t="shared" si="2"/>
        <v>4456</v>
      </c>
      <c r="E23" s="302">
        <f t="shared" si="3"/>
        <v>8792</v>
      </c>
      <c r="F23" s="284">
        <f t="shared" si="4"/>
        <v>5292</v>
      </c>
      <c r="G23" s="462">
        <v>10164</v>
      </c>
      <c r="H23" s="296">
        <v>9750</v>
      </c>
      <c r="I23" s="488">
        <v>3500</v>
      </c>
      <c r="J23" s="491">
        <f t="shared" si="5"/>
        <v>1.4E-2</v>
      </c>
      <c r="K23" s="459">
        <v>400</v>
      </c>
      <c r="L23" s="489">
        <v>1</v>
      </c>
      <c r="M23" s="459">
        <v>1.03</v>
      </c>
      <c r="N23" s="489">
        <v>0.5</v>
      </c>
      <c r="O23" s="192">
        <f t="shared" si="0"/>
        <v>206</v>
      </c>
      <c r="P23" s="214">
        <v>0.5</v>
      </c>
    </row>
    <row r="24" spans="1:16" s="1" customFormat="1" ht="15.6">
      <c r="A24" s="459">
        <v>17</v>
      </c>
      <c r="B24" s="460" t="s">
        <v>71</v>
      </c>
      <c r="C24" s="463">
        <f>D24+I24</f>
        <v>23934</v>
      </c>
      <c r="D24" s="462">
        <f t="shared" si="2"/>
        <v>20434</v>
      </c>
      <c r="E24" s="462">
        <f t="shared" si="3"/>
        <v>27768</v>
      </c>
      <c r="F24" s="284">
        <f t="shared" si="4"/>
        <v>24268</v>
      </c>
      <c r="G24" s="462">
        <v>45770</v>
      </c>
      <c r="H24" s="296">
        <v>50</v>
      </c>
      <c r="I24" s="488">
        <v>3500</v>
      </c>
      <c r="J24" s="491">
        <f t="shared" si="5"/>
        <v>6.4199999999999993E-2</v>
      </c>
      <c r="K24" s="459">
        <v>1800</v>
      </c>
      <c r="L24" s="489">
        <v>1</v>
      </c>
      <c r="M24" s="459">
        <v>1.05</v>
      </c>
      <c r="N24" s="489">
        <v>0.5</v>
      </c>
      <c r="O24" s="192">
        <f t="shared" si="0"/>
        <v>945</v>
      </c>
      <c r="P24" s="214">
        <v>0.5</v>
      </c>
    </row>
    <row r="25" spans="1:16" s="1" customFormat="1" ht="15.6">
      <c r="A25" s="459">
        <v>18</v>
      </c>
      <c r="B25" s="460" t="s">
        <v>72</v>
      </c>
      <c r="C25" s="465">
        <v>13234</v>
      </c>
      <c r="D25" s="462">
        <f t="shared" si="2"/>
        <v>6811</v>
      </c>
      <c r="E25" s="302">
        <f t="shared" si="3"/>
        <v>8089</v>
      </c>
      <c r="F25" s="284">
        <f t="shared" si="4"/>
        <v>8089</v>
      </c>
      <c r="G25" s="462">
        <v>13534</v>
      </c>
      <c r="H25" s="296">
        <v>13234</v>
      </c>
      <c r="I25" s="488">
        <v>0</v>
      </c>
      <c r="J25" s="491">
        <f t="shared" si="5"/>
        <v>2.1399999999999999E-2</v>
      </c>
      <c r="K25" s="459">
        <v>600</v>
      </c>
      <c r="L25" s="489">
        <v>1</v>
      </c>
      <c r="M25" s="459">
        <v>1.05</v>
      </c>
      <c r="N25" s="489">
        <v>0.5</v>
      </c>
      <c r="O25" s="192">
        <f t="shared" si="0"/>
        <v>315</v>
      </c>
      <c r="P25" s="214">
        <v>0.5</v>
      </c>
    </row>
    <row r="26" spans="1:16" s="1" customFormat="1" ht="15.6">
      <c r="A26" s="459">
        <v>19</v>
      </c>
      <c r="B26" s="460" t="s">
        <v>73</v>
      </c>
      <c r="C26" s="465">
        <v>27782</v>
      </c>
      <c r="D26" s="462">
        <f t="shared" si="2"/>
        <v>7862</v>
      </c>
      <c r="E26" s="302">
        <f t="shared" si="3"/>
        <v>9337</v>
      </c>
      <c r="F26" s="284">
        <f t="shared" si="4"/>
        <v>9337</v>
      </c>
      <c r="G26" s="462">
        <v>27782</v>
      </c>
      <c r="H26" s="296">
        <v>27782</v>
      </c>
      <c r="I26" s="488">
        <v>0</v>
      </c>
      <c r="J26" s="491">
        <f t="shared" si="5"/>
        <v>2.47E-2</v>
      </c>
      <c r="K26" s="459">
        <v>700</v>
      </c>
      <c r="L26" s="489">
        <v>1</v>
      </c>
      <c r="M26" s="459">
        <v>1.04</v>
      </c>
      <c r="N26" s="489">
        <v>0.5</v>
      </c>
      <c r="O26" s="192">
        <f t="shared" si="0"/>
        <v>364</v>
      </c>
      <c r="P26" s="214">
        <v>0.5</v>
      </c>
    </row>
    <row r="27" spans="1:16" s="1" customFormat="1" ht="19.95" customHeight="1">
      <c r="A27" s="459">
        <v>20</v>
      </c>
      <c r="B27" s="460" t="s">
        <v>75</v>
      </c>
      <c r="C27" s="469">
        <f>E27+I27</f>
        <v>18907</v>
      </c>
      <c r="D27" s="462">
        <f t="shared" si="2"/>
        <v>10026</v>
      </c>
      <c r="E27" s="462">
        <f t="shared" si="3"/>
        <v>15407</v>
      </c>
      <c r="F27" s="284">
        <f t="shared" si="4"/>
        <v>11907</v>
      </c>
      <c r="G27" s="462">
        <v>18453</v>
      </c>
      <c r="H27" s="296">
        <v>14700</v>
      </c>
      <c r="I27" s="488">
        <v>3500</v>
      </c>
      <c r="J27" s="491">
        <f t="shared" si="5"/>
        <v>3.15E-2</v>
      </c>
      <c r="K27" s="459">
        <v>900</v>
      </c>
      <c r="L27" s="489">
        <v>1</v>
      </c>
      <c r="M27" s="489">
        <v>1.03</v>
      </c>
      <c r="N27" s="489">
        <v>0.5</v>
      </c>
      <c r="O27" s="192">
        <f t="shared" si="0"/>
        <v>463.5</v>
      </c>
      <c r="P27" s="214">
        <v>0.5</v>
      </c>
    </row>
    <row r="28" spans="1:16" s="1" customFormat="1" ht="19.95" customHeight="1">
      <c r="A28" s="459">
        <v>21</v>
      </c>
      <c r="B28" s="460" t="s">
        <v>64</v>
      </c>
      <c r="C28" s="469">
        <f>D28+I28</f>
        <v>3883</v>
      </c>
      <c r="D28" s="462">
        <f t="shared" si="2"/>
        <v>3883</v>
      </c>
      <c r="E28" s="462">
        <f t="shared" si="3"/>
        <v>4612</v>
      </c>
      <c r="F28" s="284">
        <f t="shared" si="4"/>
        <v>4612</v>
      </c>
      <c r="G28" s="462">
        <v>4241</v>
      </c>
      <c r="H28" s="296">
        <v>2241</v>
      </c>
      <c r="I28" s="488">
        <v>0</v>
      </c>
      <c r="J28" s="491">
        <f t="shared" si="5"/>
        <v>1.2200000000000001E-2</v>
      </c>
      <c r="K28" s="459">
        <v>360</v>
      </c>
      <c r="L28" s="489">
        <v>1</v>
      </c>
      <c r="M28" s="489">
        <v>1</v>
      </c>
      <c r="N28" s="489">
        <v>0.5</v>
      </c>
      <c r="O28" s="192">
        <f t="shared" si="0"/>
        <v>180</v>
      </c>
      <c r="P28" s="214">
        <v>0.5</v>
      </c>
    </row>
    <row r="29" spans="1:16" s="1" customFormat="1" ht="16.8">
      <c r="A29" s="459">
        <v>22</v>
      </c>
      <c r="B29" s="460" t="s">
        <v>65</v>
      </c>
      <c r="C29" s="469">
        <f>D29+I29+420000-419887</f>
        <v>10106</v>
      </c>
      <c r="D29" s="462">
        <f t="shared" si="2"/>
        <v>6493</v>
      </c>
      <c r="E29" s="462">
        <f t="shared" si="3"/>
        <v>11211</v>
      </c>
      <c r="F29" s="284">
        <f t="shared" si="4"/>
        <v>7711</v>
      </c>
      <c r="G29" s="462">
        <v>30000</v>
      </c>
      <c r="H29" s="308" t="s">
        <v>50</v>
      </c>
      <c r="I29" s="488">
        <v>3500</v>
      </c>
      <c r="J29" s="491">
        <f t="shared" si="5"/>
        <v>2.0400000000000001E-2</v>
      </c>
      <c r="K29" s="459">
        <v>500</v>
      </c>
      <c r="L29" s="489">
        <v>1</v>
      </c>
      <c r="M29" s="489">
        <v>1.2</v>
      </c>
      <c r="N29" s="489">
        <v>0.5</v>
      </c>
      <c r="O29" s="192">
        <f t="shared" si="0"/>
        <v>300</v>
      </c>
      <c r="P29" s="214">
        <v>0.25</v>
      </c>
    </row>
    <row r="30" spans="1:16" s="1" customFormat="1" ht="16.8">
      <c r="A30" s="459">
        <v>23</v>
      </c>
      <c r="B30" s="460" t="s">
        <v>66</v>
      </c>
      <c r="C30" s="469">
        <f t="shared" ref="C30:C33" si="8">D30+I30</f>
        <v>5696</v>
      </c>
      <c r="D30" s="462">
        <f t="shared" si="2"/>
        <v>2196</v>
      </c>
      <c r="E30" s="462">
        <f t="shared" si="3"/>
        <v>6108</v>
      </c>
      <c r="F30" s="284">
        <f t="shared" si="4"/>
        <v>2608</v>
      </c>
      <c r="G30" s="462">
        <v>0</v>
      </c>
      <c r="H30" s="308" t="s">
        <v>50</v>
      </c>
      <c r="I30" s="488">
        <v>3500</v>
      </c>
      <c r="J30" s="491">
        <f t="shared" si="5"/>
        <v>6.8999999999999999E-3</v>
      </c>
      <c r="K30" s="459">
        <v>200</v>
      </c>
      <c r="L30" s="489">
        <v>1</v>
      </c>
      <c r="M30" s="489">
        <v>1.01</v>
      </c>
      <c r="N30" s="489">
        <v>0.5</v>
      </c>
      <c r="O30" s="192">
        <f t="shared" si="0"/>
        <v>101</v>
      </c>
      <c r="P30" s="214">
        <v>0.25</v>
      </c>
    </row>
    <row r="31" spans="1:16" s="1" customFormat="1" ht="15.6">
      <c r="A31" s="459">
        <v>24</v>
      </c>
      <c r="B31" s="460" t="s">
        <v>67</v>
      </c>
      <c r="C31" s="469">
        <f t="shared" si="8"/>
        <v>3247</v>
      </c>
      <c r="D31" s="462">
        <f t="shared" si="2"/>
        <v>3247</v>
      </c>
      <c r="E31" s="462">
        <f t="shared" si="3"/>
        <v>3856</v>
      </c>
      <c r="F31" s="284">
        <f t="shared" si="4"/>
        <v>3856</v>
      </c>
      <c r="G31" s="462">
        <v>1718</v>
      </c>
      <c r="H31" s="296">
        <v>1244</v>
      </c>
      <c r="I31" s="488">
        <v>0</v>
      </c>
      <c r="J31" s="491">
        <f t="shared" si="5"/>
        <v>1.0200000000000001E-2</v>
      </c>
      <c r="K31" s="459">
        <v>300</v>
      </c>
      <c r="L31" s="489">
        <v>1</v>
      </c>
      <c r="M31" s="489">
        <v>1</v>
      </c>
      <c r="N31" s="489">
        <v>0.5</v>
      </c>
      <c r="O31" s="192">
        <f t="shared" si="0"/>
        <v>150</v>
      </c>
      <c r="P31" s="214">
        <v>0.25</v>
      </c>
    </row>
    <row r="32" spans="1:16" s="1" customFormat="1" ht="15.6">
      <c r="A32" s="459">
        <v>25</v>
      </c>
      <c r="B32" s="460" t="s">
        <v>74</v>
      </c>
      <c r="C32" s="469">
        <f t="shared" si="8"/>
        <v>10788</v>
      </c>
      <c r="D32" s="462">
        <f t="shared" si="2"/>
        <v>7288</v>
      </c>
      <c r="E32" s="462">
        <f t="shared" si="3"/>
        <v>12156</v>
      </c>
      <c r="F32" s="284">
        <f t="shared" si="4"/>
        <v>8656</v>
      </c>
      <c r="G32" s="462">
        <v>11898</v>
      </c>
      <c r="H32" s="296">
        <v>6898</v>
      </c>
      <c r="I32" s="488">
        <v>3500</v>
      </c>
      <c r="J32" s="491">
        <f t="shared" si="5"/>
        <v>2.29E-2</v>
      </c>
      <c r="K32" s="459">
        <v>1125</v>
      </c>
      <c r="L32" s="489">
        <v>0.6</v>
      </c>
      <c r="M32" s="489">
        <v>1</v>
      </c>
      <c r="N32" s="489">
        <v>0.5</v>
      </c>
      <c r="O32" s="192">
        <f t="shared" si="0"/>
        <v>337.5</v>
      </c>
      <c r="P32" s="214">
        <v>0.5</v>
      </c>
    </row>
    <row r="33" spans="1:16" s="64" customFormat="1" ht="15.6">
      <c r="A33" s="459">
        <v>26</v>
      </c>
      <c r="B33" s="460" t="s">
        <v>76</v>
      </c>
      <c r="C33" s="469">
        <f t="shared" si="8"/>
        <v>8975</v>
      </c>
      <c r="D33" s="462">
        <f t="shared" si="2"/>
        <v>5475</v>
      </c>
      <c r="E33" s="462">
        <f t="shared" si="3"/>
        <v>10002</v>
      </c>
      <c r="F33" s="284">
        <f t="shared" si="4"/>
        <v>6502</v>
      </c>
      <c r="G33" s="462">
        <v>5890</v>
      </c>
      <c r="H33" s="296">
        <v>4930</v>
      </c>
      <c r="I33" s="488">
        <v>3500</v>
      </c>
      <c r="J33" s="491">
        <f t="shared" si="5"/>
        <v>1.72E-2</v>
      </c>
      <c r="K33" s="459">
        <v>500</v>
      </c>
      <c r="L33" s="489">
        <v>1</v>
      </c>
      <c r="M33" s="489">
        <v>1.01</v>
      </c>
      <c r="N33" s="489">
        <v>0.5</v>
      </c>
      <c r="O33" s="192">
        <f t="shared" si="0"/>
        <v>252.5</v>
      </c>
      <c r="P33" s="214">
        <v>0.5</v>
      </c>
    </row>
    <row r="34" spans="1:16" s="1" customFormat="1" ht="15.6">
      <c r="A34" s="459">
        <v>27</v>
      </c>
      <c r="B34" s="460" t="s">
        <v>77</v>
      </c>
      <c r="C34" s="470">
        <v>10000</v>
      </c>
      <c r="D34" s="462">
        <f t="shared" si="2"/>
        <v>5475</v>
      </c>
      <c r="E34" s="302">
        <f t="shared" si="3"/>
        <v>6502</v>
      </c>
      <c r="F34" s="284">
        <f t="shared" si="4"/>
        <v>6502</v>
      </c>
      <c r="G34" s="462">
        <v>10000</v>
      </c>
      <c r="H34" s="299">
        <v>10000</v>
      </c>
      <c r="I34" s="488">
        <v>0</v>
      </c>
      <c r="J34" s="491">
        <f t="shared" si="5"/>
        <v>1.72E-2</v>
      </c>
      <c r="K34" s="459">
        <v>500</v>
      </c>
      <c r="L34" s="489">
        <v>1</v>
      </c>
      <c r="M34" s="489">
        <v>1.01</v>
      </c>
      <c r="N34" s="489">
        <v>0.5</v>
      </c>
      <c r="O34" s="192">
        <f t="shared" si="0"/>
        <v>252.5</v>
      </c>
      <c r="P34" s="214">
        <v>0.5</v>
      </c>
    </row>
    <row r="35" spans="1:16" s="1" customFormat="1" ht="15.6">
      <c r="A35" s="459">
        <v>28</v>
      </c>
      <c r="B35" s="460" t="s">
        <v>78</v>
      </c>
      <c r="C35" s="469">
        <f>D35+I35</f>
        <v>7925</v>
      </c>
      <c r="D35" s="462">
        <f t="shared" si="2"/>
        <v>7925</v>
      </c>
      <c r="E35" s="462">
        <f t="shared" si="3"/>
        <v>9412</v>
      </c>
      <c r="F35" s="284">
        <f t="shared" si="4"/>
        <v>9412</v>
      </c>
      <c r="G35" s="462">
        <v>7068</v>
      </c>
      <c r="H35" s="296">
        <v>7068</v>
      </c>
      <c r="I35" s="488">
        <v>0</v>
      </c>
      <c r="J35" s="491">
        <f t="shared" si="5"/>
        <v>2.4899999999999999E-2</v>
      </c>
      <c r="K35" s="459">
        <v>900</v>
      </c>
      <c r="L35" s="489">
        <v>0.8</v>
      </c>
      <c r="M35" s="489">
        <v>1.02</v>
      </c>
      <c r="N35" s="489">
        <v>0.5</v>
      </c>
      <c r="O35" s="192">
        <f t="shared" si="0"/>
        <v>367.2</v>
      </c>
      <c r="P35" s="214">
        <v>0.5</v>
      </c>
    </row>
    <row r="36" spans="1:16" s="1" customFormat="1" ht="16.8">
      <c r="A36" s="459">
        <v>29</v>
      </c>
      <c r="B36" s="471" t="s">
        <v>79</v>
      </c>
      <c r="C36" s="469">
        <f>D36+I36</f>
        <v>1527</v>
      </c>
      <c r="D36" s="462">
        <f t="shared" si="2"/>
        <v>1527</v>
      </c>
      <c r="E36" s="462">
        <f t="shared" si="3"/>
        <v>1814</v>
      </c>
      <c r="F36" s="284">
        <f t="shared" si="4"/>
        <v>1814</v>
      </c>
      <c r="G36" s="462">
        <v>1649</v>
      </c>
      <c r="H36" s="308" t="s">
        <v>50</v>
      </c>
      <c r="I36" s="488">
        <v>0</v>
      </c>
      <c r="J36" s="491">
        <f t="shared" si="5"/>
        <v>4.7999999999999996E-3</v>
      </c>
      <c r="K36" s="459">
        <v>140</v>
      </c>
      <c r="L36" s="489">
        <v>1</v>
      </c>
      <c r="M36" s="489">
        <v>1</v>
      </c>
      <c r="N36" s="489">
        <v>0.5</v>
      </c>
      <c r="O36" s="192">
        <f t="shared" si="0"/>
        <v>70</v>
      </c>
      <c r="P36" s="214">
        <v>0.5</v>
      </c>
    </row>
    <row r="37" spans="1:16" s="163" customFormat="1" ht="31.2">
      <c r="A37" s="472"/>
      <c r="B37" s="473" t="s">
        <v>80</v>
      </c>
      <c r="C37" s="463">
        <f>SUM(C20:C36)</f>
        <v>192006</v>
      </c>
      <c r="D37" s="462">
        <f t="shared" si="2"/>
        <v>0</v>
      </c>
      <c r="E37" s="462">
        <f t="shared" si="3"/>
        <v>0</v>
      </c>
      <c r="F37" s="284">
        <f t="shared" si="4"/>
        <v>0</v>
      </c>
      <c r="G37" s="468"/>
      <c r="H37" s="475"/>
      <c r="I37" s="494"/>
      <c r="J37" s="491"/>
      <c r="K37" s="474"/>
      <c r="L37" s="474"/>
      <c r="M37" s="474"/>
      <c r="N37" s="474"/>
      <c r="O37" s="230"/>
      <c r="P37" s="229"/>
    </row>
    <row r="38" spans="1:16" s="64" customFormat="1" ht="15.6">
      <c r="A38" s="476"/>
      <c r="B38" s="477"/>
      <c r="C38" s="236"/>
      <c r="D38" s="478"/>
      <c r="E38" s="479"/>
      <c r="F38" s="186"/>
      <c r="G38" s="480"/>
      <c r="H38" s="175"/>
      <c r="I38" s="498"/>
      <c r="J38" s="499"/>
      <c r="K38" s="479"/>
      <c r="L38" s="479"/>
      <c r="M38" s="479"/>
      <c r="N38" s="479"/>
      <c r="O38" s="233"/>
      <c r="P38" s="232"/>
    </row>
    <row r="40" spans="1:16">
      <c r="C40" s="481"/>
      <c r="P40" s="234"/>
    </row>
    <row r="41" spans="1:16">
      <c r="H41" s="208"/>
    </row>
  </sheetData>
  <mergeCells count="1">
    <mergeCell ref="A3:N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"/>
  <sheetViews>
    <sheetView topLeftCell="A16" workbookViewId="0">
      <selection activeCell="H31" sqref="H31"/>
    </sheetView>
  </sheetViews>
  <sheetFormatPr defaultColWidth="9" defaultRowHeight="14.4"/>
  <cols>
    <col min="1" max="1" width="6.6640625" style="164" customWidth="1"/>
    <col min="2" max="2" width="15.21875" style="442" customWidth="1"/>
    <col min="3" max="3" width="9.88671875" style="234" customWidth="1"/>
    <col min="4" max="4" width="13.44140625" style="168" hidden="1" customWidth="1"/>
    <col min="5" max="5" width="11.6640625" style="164" hidden="1" customWidth="1"/>
    <col min="6" max="6" width="14.33203125" style="168" hidden="1" customWidth="1"/>
    <col min="7" max="7" width="9.44140625" style="443" customWidth="1"/>
    <col min="8" max="8" width="7.33203125" style="169" customWidth="1"/>
    <col min="9" max="9" width="7.88671875" style="444" customWidth="1"/>
    <col min="10" max="10" width="8.21875" style="170" customWidth="1"/>
    <col min="11" max="11" width="8.109375" style="164" customWidth="1"/>
    <col min="12" max="12" width="8.21875" style="164" customWidth="1"/>
    <col min="13" max="13" width="7.77734375" style="164" customWidth="1"/>
    <col min="14" max="14" width="9.44140625" style="164" customWidth="1"/>
    <col min="15" max="15" width="13.21875" hidden="1" customWidth="1"/>
    <col min="16" max="16" width="15.44140625" style="5" hidden="1" customWidth="1"/>
    <col min="17" max="17" width="16.6640625" hidden="1" customWidth="1"/>
    <col min="18" max="31" width="9" style="1"/>
  </cols>
  <sheetData>
    <row r="1" spans="1:17" ht="17.399999999999999">
      <c r="A1" s="445" t="s">
        <v>34</v>
      </c>
      <c r="B1" s="446"/>
      <c r="C1" s="447"/>
      <c r="D1" s="448"/>
      <c r="E1" s="449"/>
      <c r="F1" s="448"/>
      <c r="G1" s="450"/>
      <c r="H1" s="175"/>
      <c r="I1" s="482"/>
      <c r="J1" s="483"/>
      <c r="K1" s="449"/>
      <c r="L1" s="449"/>
      <c r="M1" s="449"/>
      <c r="N1" s="449"/>
      <c r="O1" s="210"/>
    </row>
    <row r="2" spans="1:17">
      <c r="A2" s="451"/>
      <c r="B2" s="446"/>
      <c r="C2" s="447"/>
      <c r="D2" s="448"/>
      <c r="E2" s="449"/>
      <c r="F2" s="448"/>
      <c r="G2" s="450"/>
      <c r="H2" s="175"/>
      <c r="I2" s="482"/>
      <c r="J2" s="483"/>
      <c r="K2" s="449"/>
      <c r="L2" s="449"/>
      <c r="M2" s="449"/>
      <c r="N2" s="449"/>
      <c r="O2" s="210"/>
    </row>
    <row r="3" spans="1:17" ht="20.399999999999999">
      <c r="A3" s="537" t="s">
        <v>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8"/>
    </row>
    <row r="4" spans="1:17" ht="17.399999999999999">
      <c r="A4" s="452"/>
      <c r="B4" s="453"/>
      <c r="C4" s="211"/>
      <c r="D4" s="454"/>
      <c r="E4" s="452"/>
      <c r="F4" s="454"/>
      <c r="G4" s="455"/>
      <c r="H4" s="180"/>
      <c r="I4" s="484"/>
      <c r="J4" s="485"/>
      <c r="K4" s="452"/>
      <c r="L4" s="452"/>
      <c r="M4" s="452"/>
      <c r="N4" s="452"/>
      <c r="O4" s="210"/>
    </row>
    <row r="5" spans="1:17" s="235" customFormat="1" ht="67.5" customHeight="1">
      <c r="A5" s="456" t="s">
        <v>1</v>
      </c>
      <c r="B5" s="456" t="s">
        <v>2</v>
      </c>
      <c r="C5" s="213" t="s">
        <v>36</v>
      </c>
      <c r="D5" s="457" t="s">
        <v>37</v>
      </c>
      <c r="E5" s="456" t="s">
        <v>38</v>
      </c>
      <c r="F5" s="457" t="s">
        <v>39</v>
      </c>
      <c r="G5" s="457" t="s">
        <v>40</v>
      </c>
      <c r="H5" s="458" t="s">
        <v>5</v>
      </c>
      <c r="I5" s="486" t="s">
        <v>41</v>
      </c>
      <c r="J5" s="487" t="s">
        <v>42</v>
      </c>
      <c r="K5" s="456" t="s">
        <v>43</v>
      </c>
      <c r="L5" s="456" t="s">
        <v>44</v>
      </c>
      <c r="M5" s="456" t="s">
        <v>45</v>
      </c>
      <c r="N5" s="456" t="s">
        <v>4</v>
      </c>
      <c r="O5" s="213" t="s">
        <v>81</v>
      </c>
      <c r="P5" s="213" t="s">
        <v>46</v>
      </c>
      <c r="Q5" s="213" t="s">
        <v>47</v>
      </c>
    </row>
    <row r="6" spans="1:17" s="236" customFormat="1" ht="15.6">
      <c r="A6" s="459"/>
      <c r="B6" s="460" t="s">
        <v>48</v>
      </c>
      <c r="C6" s="461">
        <f>C19+C37</f>
        <v>420000</v>
      </c>
      <c r="D6" s="462">
        <f>SUM(D7:D37)</f>
        <v>323455</v>
      </c>
      <c r="E6" s="462">
        <f>SUM(E7:E37)</f>
        <v>420531</v>
      </c>
      <c r="F6" s="462">
        <f>SUM(F7:F36)</f>
        <v>378531</v>
      </c>
      <c r="G6" s="462"/>
      <c r="H6" s="296"/>
      <c r="I6" s="488">
        <f>SUM(I7:I37)</f>
        <v>42000</v>
      </c>
      <c r="J6" s="489">
        <f>SUM(J7:J37)</f>
        <v>1</v>
      </c>
      <c r="K6" s="459">
        <f>SUM(K7:K36)</f>
        <v>24330</v>
      </c>
      <c r="L6" s="459"/>
      <c r="M6" s="459"/>
      <c r="N6" s="459"/>
      <c r="O6" s="216"/>
      <c r="P6" s="490">
        <f>SUM(P7:P37)</f>
        <v>14678.93</v>
      </c>
      <c r="Q6" s="216"/>
    </row>
    <row r="7" spans="1:17" s="1" customFormat="1" ht="16.8">
      <c r="A7" s="459">
        <v>1</v>
      </c>
      <c r="B7" s="460" t="s">
        <v>49</v>
      </c>
      <c r="C7" s="463">
        <f>D7+I7</f>
        <v>2003</v>
      </c>
      <c r="D7" s="462">
        <f>F7*(1-0.1455)</f>
        <v>2003</v>
      </c>
      <c r="E7" s="462">
        <f>SUM(F7+I7)</f>
        <v>2344</v>
      </c>
      <c r="F7" s="462">
        <f>(42-4.2)*10000*J7</f>
        <v>2344</v>
      </c>
      <c r="G7" s="462">
        <v>1099</v>
      </c>
      <c r="H7" s="308" t="s">
        <v>50</v>
      </c>
      <c r="I7" s="488">
        <v>0</v>
      </c>
      <c r="J7" s="491">
        <f>P7/14658.41</f>
        <v>6.1999999999999998E-3</v>
      </c>
      <c r="K7" s="459">
        <v>140</v>
      </c>
      <c r="L7" s="489">
        <v>1</v>
      </c>
      <c r="M7" s="489">
        <v>1</v>
      </c>
      <c r="N7" s="489">
        <v>0.65</v>
      </c>
      <c r="O7" s="83" t="s">
        <v>82</v>
      </c>
      <c r="P7" s="192">
        <f>K7*L7*M7*N7</f>
        <v>91</v>
      </c>
      <c r="Q7" s="214">
        <v>0.65</v>
      </c>
    </row>
    <row r="8" spans="1:17" s="1" customFormat="1" ht="16.8">
      <c r="A8" s="459">
        <v>2</v>
      </c>
      <c r="B8" s="460" t="s">
        <v>51</v>
      </c>
      <c r="C8" s="463">
        <f t="shared" ref="C8:C11" si="0">D8+I8</f>
        <v>1777</v>
      </c>
      <c r="D8" s="462">
        <f t="shared" ref="D8:D37" si="1">F8*(1-0.1455)</f>
        <v>1777</v>
      </c>
      <c r="E8" s="462">
        <f t="shared" ref="E8:E11" si="2">SUM(F8+I8)</f>
        <v>2079</v>
      </c>
      <c r="F8" s="462">
        <f>(42-4.2)*10000*J8</f>
        <v>2079</v>
      </c>
      <c r="G8" s="462">
        <v>982</v>
      </c>
      <c r="H8" s="308" t="s">
        <v>50</v>
      </c>
      <c r="I8" s="488">
        <v>0</v>
      </c>
      <c r="J8" s="491">
        <f t="shared" ref="J8:J18" si="3">P8/14658.41</f>
        <v>5.4999999999999997E-3</v>
      </c>
      <c r="K8" s="459">
        <v>125</v>
      </c>
      <c r="L8" s="489">
        <v>1</v>
      </c>
      <c r="M8" s="489">
        <v>1</v>
      </c>
      <c r="N8" s="489">
        <v>0.65</v>
      </c>
      <c r="O8" s="83" t="s">
        <v>82</v>
      </c>
      <c r="P8" s="192">
        <f t="shared" ref="P8:P28" si="4">K8*L8*M8*N8</f>
        <v>81.25</v>
      </c>
      <c r="Q8" s="214">
        <v>0.65</v>
      </c>
    </row>
    <row r="9" spans="1:17" s="1" customFormat="1" ht="15.6">
      <c r="A9" s="459">
        <v>3</v>
      </c>
      <c r="B9" s="460" t="s">
        <v>52</v>
      </c>
      <c r="C9" s="463">
        <f t="shared" si="0"/>
        <v>37867</v>
      </c>
      <c r="D9" s="462">
        <f t="shared" si="1"/>
        <v>34367</v>
      </c>
      <c r="E9" s="462">
        <f t="shared" si="2"/>
        <v>43719</v>
      </c>
      <c r="F9" s="462">
        <f>(42-4.2)*10000*J9</f>
        <v>40219</v>
      </c>
      <c r="G9" s="462">
        <v>22077</v>
      </c>
      <c r="H9" s="296">
        <v>12199</v>
      </c>
      <c r="I9" s="488">
        <v>3500</v>
      </c>
      <c r="J9" s="491">
        <f t="shared" si="3"/>
        <v>0.10639999999999999</v>
      </c>
      <c r="K9" s="459">
        <v>2000</v>
      </c>
      <c r="L9" s="489">
        <v>1</v>
      </c>
      <c r="M9" s="489">
        <v>1.2</v>
      </c>
      <c r="N9" s="489">
        <v>0.65</v>
      </c>
      <c r="O9" s="83" t="s">
        <v>82</v>
      </c>
      <c r="P9" s="192">
        <f t="shared" si="4"/>
        <v>1560</v>
      </c>
      <c r="Q9" s="214">
        <v>0.65</v>
      </c>
    </row>
    <row r="10" spans="1:17" s="1" customFormat="1" ht="16.8">
      <c r="A10" s="459">
        <v>4</v>
      </c>
      <c r="B10" s="460" t="s">
        <v>53</v>
      </c>
      <c r="C10" s="463">
        <f t="shared" si="0"/>
        <v>1421</v>
      </c>
      <c r="D10" s="462">
        <f t="shared" si="1"/>
        <v>1421</v>
      </c>
      <c r="E10" s="462">
        <f t="shared" si="2"/>
        <v>1663</v>
      </c>
      <c r="F10" s="462">
        <f t="shared" ref="F10:F36" si="5">(42-4.2)*10000*J10</f>
        <v>1663</v>
      </c>
      <c r="G10" s="462">
        <v>0</v>
      </c>
      <c r="H10" s="308" t="s">
        <v>50</v>
      </c>
      <c r="I10" s="488">
        <v>0</v>
      </c>
      <c r="J10" s="491">
        <f t="shared" si="3"/>
        <v>4.4000000000000003E-3</v>
      </c>
      <c r="K10" s="459">
        <v>100</v>
      </c>
      <c r="L10" s="489">
        <v>1</v>
      </c>
      <c r="M10" s="489">
        <v>1</v>
      </c>
      <c r="N10" s="489">
        <v>0.65</v>
      </c>
      <c r="O10" s="83" t="s">
        <v>82</v>
      </c>
      <c r="P10" s="192">
        <f t="shared" si="4"/>
        <v>65</v>
      </c>
      <c r="Q10" s="214">
        <v>0.65</v>
      </c>
    </row>
    <row r="11" spans="1:17" s="1" customFormat="1" ht="15.6">
      <c r="A11" s="459">
        <v>5</v>
      </c>
      <c r="B11" s="460" t="s">
        <v>54</v>
      </c>
      <c r="C11" s="463">
        <f t="shared" si="0"/>
        <v>14018</v>
      </c>
      <c r="D11" s="462">
        <f t="shared" si="1"/>
        <v>14018</v>
      </c>
      <c r="E11" s="462">
        <f t="shared" si="2"/>
        <v>16405</v>
      </c>
      <c r="F11" s="462">
        <f t="shared" si="5"/>
        <v>16405</v>
      </c>
      <c r="G11" s="462">
        <v>28104</v>
      </c>
      <c r="H11" s="296">
        <v>7481</v>
      </c>
      <c r="I11" s="488">
        <v>0</v>
      </c>
      <c r="J11" s="491">
        <f t="shared" si="3"/>
        <v>4.3400000000000001E-2</v>
      </c>
      <c r="K11" s="459">
        <v>950</v>
      </c>
      <c r="L11" s="489">
        <v>1</v>
      </c>
      <c r="M11" s="459">
        <v>1.03</v>
      </c>
      <c r="N11" s="489">
        <v>0.65</v>
      </c>
      <c r="O11" s="83" t="s">
        <v>83</v>
      </c>
      <c r="P11" s="192">
        <f t="shared" si="4"/>
        <v>636.02499999999998</v>
      </c>
      <c r="Q11" s="214">
        <v>0.5</v>
      </c>
    </row>
    <row r="12" spans="1:17" s="64" customFormat="1" ht="15.6">
      <c r="A12" s="301">
        <v>6</v>
      </c>
      <c r="B12" s="464" t="s">
        <v>56</v>
      </c>
      <c r="C12" s="465">
        <v>36490</v>
      </c>
      <c r="D12" s="462">
        <f t="shared" si="1"/>
        <v>11693</v>
      </c>
      <c r="E12" s="302">
        <f t="shared" ref="E12:E22" si="6">SUM(F12+I12)</f>
        <v>17184</v>
      </c>
      <c r="F12" s="302">
        <f t="shared" si="5"/>
        <v>13684</v>
      </c>
      <c r="G12" s="302">
        <v>46872</v>
      </c>
      <c r="H12" s="296">
        <v>36490</v>
      </c>
      <c r="I12" s="488">
        <v>3500</v>
      </c>
      <c r="J12" s="491">
        <f t="shared" si="3"/>
        <v>3.6200000000000003E-2</v>
      </c>
      <c r="K12" s="301">
        <v>800</v>
      </c>
      <c r="L12" s="328">
        <v>1</v>
      </c>
      <c r="M12" s="301">
        <v>1.02</v>
      </c>
      <c r="N12" s="328">
        <v>0.65</v>
      </c>
      <c r="O12" s="492" t="s">
        <v>83</v>
      </c>
      <c r="P12" s="192">
        <f t="shared" si="4"/>
        <v>530.4</v>
      </c>
      <c r="Q12" s="328">
        <v>0.5</v>
      </c>
    </row>
    <row r="13" spans="1:17" s="1" customFormat="1" ht="16.8">
      <c r="A13" s="459">
        <v>7</v>
      </c>
      <c r="B13" s="460" t="s">
        <v>57</v>
      </c>
      <c r="C13" s="463">
        <f>D13+I13</f>
        <v>37985</v>
      </c>
      <c r="D13" s="462">
        <f t="shared" si="1"/>
        <v>37985</v>
      </c>
      <c r="E13" s="462">
        <f t="shared" si="6"/>
        <v>44453</v>
      </c>
      <c r="F13" s="462">
        <f t="shared" si="5"/>
        <v>44453</v>
      </c>
      <c r="G13" s="462">
        <v>27657</v>
      </c>
      <c r="H13" s="308" t="s">
        <v>50</v>
      </c>
      <c r="I13" s="488">
        <v>0</v>
      </c>
      <c r="J13" s="491">
        <f t="shared" si="3"/>
        <v>0.1176</v>
      </c>
      <c r="K13" s="459">
        <v>2600</v>
      </c>
      <c r="L13" s="489">
        <v>1</v>
      </c>
      <c r="M13" s="489">
        <v>1.02</v>
      </c>
      <c r="N13" s="489">
        <v>0.65</v>
      </c>
      <c r="O13" s="83" t="s">
        <v>82</v>
      </c>
      <c r="P13" s="192">
        <f t="shared" si="4"/>
        <v>1723.8</v>
      </c>
      <c r="Q13" s="214">
        <v>0.65</v>
      </c>
    </row>
    <row r="14" spans="1:17" s="1" customFormat="1" ht="15.6">
      <c r="A14" s="459">
        <v>8</v>
      </c>
      <c r="B14" s="460" t="s">
        <v>58</v>
      </c>
      <c r="C14" s="463">
        <f t="shared" ref="C14:C18" si="7">D14+I14</f>
        <v>19262</v>
      </c>
      <c r="D14" s="462">
        <f t="shared" si="1"/>
        <v>15762</v>
      </c>
      <c r="E14" s="462">
        <f t="shared" ref="E14:E17" si="8">SUM(F14+I14)</f>
        <v>21946</v>
      </c>
      <c r="F14" s="462">
        <f t="shared" si="5"/>
        <v>18446</v>
      </c>
      <c r="G14" s="462">
        <v>15053</v>
      </c>
      <c r="H14" s="296">
        <v>11885</v>
      </c>
      <c r="I14" s="488">
        <v>3500</v>
      </c>
      <c r="J14" s="491">
        <f t="shared" si="3"/>
        <v>4.8800000000000003E-2</v>
      </c>
      <c r="K14" s="459">
        <v>1000</v>
      </c>
      <c r="L14" s="489">
        <v>1</v>
      </c>
      <c r="M14" s="489">
        <v>1.1000000000000001</v>
      </c>
      <c r="N14" s="489">
        <v>0.65</v>
      </c>
      <c r="O14" s="83" t="s">
        <v>83</v>
      </c>
      <c r="P14" s="192">
        <f t="shared" si="4"/>
        <v>715</v>
      </c>
      <c r="Q14" s="214">
        <v>0.5</v>
      </c>
    </row>
    <row r="15" spans="1:17" s="1" customFormat="1" ht="15.6">
      <c r="A15" s="459">
        <v>9</v>
      </c>
      <c r="B15" s="460" t="s">
        <v>59</v>
      </c>
      <c r="C15" s="463">
        <f t="shared" si="7"/>
        <v>51551</v>
      </c>
      <c r="D15" s="462">
        <f t="shared" si="1"/>
        <v>51551</v>
      </c>
      <c r="E15" s="462">
        <f t="shared" si="8"/>
        <v>60329</v>
      </c>
      <c r="F15" s="462">
        <f t="shared" si="5"/>
        <v>60329</v>
      </c>
      <c r="G15" s="462">
        <v>40000</v>
      </c>
      <c r="H15" s="296">
        <v>21397</v>
      </c>
      <c r="I15" s="493">
        <v>0</v>
      </c>
      <c r="J15" s="491">
        <f t="shared" si="3"/>
        <v>0.15959999999999999</v>
      </c>
      <c r="K15" s="459">
        <v>3000</v>
      </c>
      <c r="L15" s="489">
        <v>1</v>
      </c>
      <c r="M15" s="489">
        <v>1.2</v>
      </c>
      <c r="N15" s="489">
        <v>0.65</v>
      </c>
      <c r="O15" s="83" t="s">
        <v>83</v>
      </c>
      <c r="P15" s="192">
        <f t="shared" si="4"/>
        <v>2340</v>
      </c>
      <c r="Q15" s="214">
        <v>0.5</v>
      </c>
    </row>
    <row r="16" spans="1:17" s="1" customFormat="1" ht="16.8">
      <c r="A16" s="459">
        <v>10</v>
      </c>
      <c r="B16" s="460" t="s">
        <v>55</v>
      </c>
      <c r="C16" s="463">
        <f t="shared" si="7"/>
        <v>12447</v>
      </c>
      <c r="D16" s="462">
        <f t="shared" si="1"/>
        <v>8947</v>
      </c>
      <c r="E16" s="462">
        <f t="shared" si="8"/>
        <v>13971</v>
      </c>
      <c r="F16" s="462">
        <f t="shared" si="5"/>
        <v>10471</v>
      </c>
      <c r="G16" s="462">
        <v>5743</v>
      </c>
      <c r="H16" s="308" t="s">
        <v>50</v>
      </c>
      <c r="I16" s="488">
        <v>3500</v>
      </c>
      <c r="J16" s="491">
        <f t="shared" si="3"/>
        <v>2.7699999999999999E-2</v>
      </c>
      <c r="K16" s="459">
        <v>600</v>
      </c>
      <c r="L16" s="489">
        <v>1</v>
      </c>
      <c r="M16" s="489">
        <v>1.04</v>
      </c>
      <c r="N16" s="489">
        <v>0.65</v>
      </c>
      <c r="O16" s="83" t="s">
        <v>82</v>
      </c>
      <c r="P16" s="192">
        <f t="shared" si="4"/>
        <v>405.6</v>
      </c>
      <c r="Q16" s="214">
        <v>0.65</v>
      </c>
    </row>
    <row r="17" spans="1:17" s="1" customFormat="1" ht="16.8">
      <c r="A17" s="459">
        <v>11</v>
      </c>
      <c r="B17" s="460" t="s">
        <v>60</v>
      </c>
      <c r="C17" s="463">
        <f t="shared" si="7"/>
        <v>11693</v>
      </c>
      <c r="D17" s="462">
        <f t="shared" si="1"/>
        <v>11693</v>
      </c>
      <c r="E17" s="462">
        <f t="shared" si="8"/>
        <v>13684</v>
      </c>
      <c r="F17" s="462">
        <f t="shared" si="5"/>
        <v>13684</v>
      </c>
      <c r="G17" s="462">
        <v>0</v>
      </c>
      <c r="H17" s="308" t="s">
        <v>50</v>
      </c>
      <c r="J17" s="491">
        <f t="shared" si="3"/>
        <v>3.6200000000000003E-2</v>
      </c>
      <c r="K17" s="459">
        <v>800</v>
      </c>
      <c r="L17" s="489">
        <v>1</v>
      </c>
      <c r="M17" s="489">
        <v>1.02</v>
      </c>
      <c r="N17" s="489">
        <v>0.65</v>
      </c>
      <c r="O17" s="83" t="s">
        <v>82</v>
      </c>
      <c r="P17" s="192">
        <f t="shared" si="4"/>
        <v>530.4</v>
      </c>
      <c r="Q17" s="214">
        <v>0.65</v>
      </c>
    </row>
    <row r="18" spans="1:17" s="1" customFormat="1" ht="15.6">
      <c r="A18" s="459">
        <v>12</v>
      </c>
      <c r="B18" s="460" t="s">
        <v>61</v>
      </c>
      <c r="C18" s="463">
        <f t="shared" si="7"/>
        <v>4824</v>
      </c>
      <c r="D18" s="462">
        <f t="shared" si="1"/>
        <v>1324</v>
      </c>
      <c r="E18" s="462">
        <f t="shared" si="6"/>
        <v>5050</v>
      </c>
      <c r="F18" s="462">
        <f t="shared" si="5"/>
        <v>1550</v>
      </c>
      <c r="G18" s="462">
        <v>10000</v>
      </c>
      <c r="H18" s="296">
        <v>25</v>
      </c>
      <c r="I18" s="488">
        <v>3500</v>
      </c>
      <c r="J18" s="491">
        <f t="shared" si="3"/>
        <v>4.1000000000000003E-3</v>
      </c>
      <c r="K18" s="459">
        <v>90</v>
      </c>
      <c r="L18" s="489">
        <v>1</v>
      </c>
      <c r="M18" s="489">
        <v>1.03</v>
      </c>
      <c r="N18" s="489">
        <v>0.65</v>
      </c>
      <c r="O18" s="83" t="s">
        <v>82</v>
      </c>
      <c r="P18" s="192">
        <f t="shared" si="4"/>
        <v>60.255000000000003</v>
      </c>
      <c r="Q18" s="214">
        <v>0.65</v>
      </c>
    </row>
    <row r="19" spans="1:17" s="237" customFormat="1" ht="33" customHeight="1">
      <c r="A19" s="466"/>
      <c r="B19" s="467" t="s">
        <v>62</v>
      </c>
      <c r="C19" s="463">
        <f>SUM(C7:C18)</f>
        <v>231338</v>
      </c>
      <c r="D19" s="462">
        <f t="shared" si="1"/>
        <v>0</v>
      </c>
      <c r="E19" s="462">
        <f t="shared" si="6"/>
        <v>0</v>
      </c>
      <c r="F19" s="468"/>
      <c r="G19" s="468"/>
      <c r="H19" s="465"/>
      <c r="I19" s="494"/>
      <c r="J19" s="491"/>
      <c r="K19" s="474"/>
      <c r="L19" s="495"/>
      <c r="M19" s="495"/>
      <c r="N19" s="495"/>
      <c r="O19" s="496"/>
      <c r="P19" s="192">
        <f t="shared" si="4"/>
        <v>0</v>
      </c>
      <c r="Q19" s="228"/>
    </row>
    <row r="20" spans="1:17" s="1" customFormat="1" ht="15.6">
      <c r="A20" s="459">
        <v>13</v>
      </c>
      <c r="B20" s="460" t="s">
        <v>63</v>
      </c>
      <c r="C20" s="463">
        <f>D20+I20</f>
        <v>6751</v>
      </c>
      <c r="D20" s="462">
        <f t="shared" si="1"/>
        <v>6751</v>
      </c>
      <c r="E20" s="462">
        <f t="shared" si="6"/>
        <v>7900</v>
      </c>
      <c r="F20" s="462">
        <f t="shared" si="5"/>
        <v>7900</v>
      </c>
      <c r="G20" s="462">
        <v>5890</v>
      </c>
      <c r="H20" s="296">
        <v>5890</v>
      </c>
      <c r="I20" s="488">
        <v>0</v>
      </c>
      <c r="J20" s="491">
        <f t="shared" ref="J20:J27" si="9">P20/14658.41</f>
        <v>2.0899999999999998E-2</v>
      </c>
      <c r="K20" s="459">
        <v>600</v>
      </c>
      <c r="L20" s="489">
        <v>1</v>
      </c>
      <c r="M20" s="489">
        <v>1.02</v>
      </c>
      <c r="N20" s="489">
        <v>0.5</v>
      </c>
      <c r="O20" s="83" t="s">
        <v>83</v>
      </c>
      <c r="P20" s="192">
        <f t="shared" si="4"/>
        <v>306</v>
      </c>
      <c r="Q20" s="214">
        <v>0.65</v>
      </c>
    </row>
    <row r="21" spans="1:17" s="1" customFormat="1" ht="15.6">
      <c r="A21" s="459">
        <v>14</v>
      </c>
      <c r="B21" s="460" t="s">
        <v>68</v>
      </c>
      <c r="C21" s="463">
        <f t="shared" ref="C21:C22" si="10">D21+I21</f>
        <v>23579</v>
      </c>
      <c r="D21" s="462">
        <f t="shared" si="1"/>
        <v>23579</v>
      </c>
      <c r="E21" s="462">
        <f t="shared" si="6"/>
        <v>27594</v>
      </c>
      <c r="F21" s="462">
        <f t="shared" si="5"/>
        <v>27594</v>
      </c>
      <c r="G21" s="462">
        <v>24036</v>
      </c>
      <c r="H21" s="296">
        <v>7167</v>
      </c>
      <c r="I21" s="488">
        <v>0</v>
      </c>
      <c r="J21" s="491">
        <f t="shared" si="9"/>
        <v>7.2999999999999995E-2</v>
      </c>
      <c r="K21" s="459">
        <v>2000</v>
      </c>
      <c r="L21" s="489">
        <v>1</v>
      </c>
      <c r="M21" s="489">
        <v>1.07</v>
      </c>
      <c r="N21" s="489">
        <v>0.5</v>
      </c>
      <c r="O21" s="83" t="s">
        <v>83</v>
      </c>
      <c r="P21" s="192">
        <f t="shared" si="4"/>
        <v>1070</v>
      </c>
      <c r="Q21" s="214">
        <v>0.5</v>
      </c>
    </row>
    <row r="22" spans="1:17" s="64" customFormat="1" ht="15.6">
      <c r="A22" s="459">
        <v>15</v>
      </c>
      <c r="B22" s="460" t="s">
        <v>69</v>
      </c>
      <c r="C22" s="463">
        <f t="shared" si="10"/>
        <v>6622</v>
      </c>
      <c r="D22" s="462">
        <f t="shared" si="1"/>
        <v>6622</v>
      </c>
      <c r="E22" s="462">
        <f t="shared" si="6"/>
        <v>7749</v>
      </c>
      <c r="F22" s="462">
        <f t="shared" si="5"/>
        <v>7749</v>
      </c>
      <c r="G22" s="462">
        <v>2945</v>
      </c>
      <c r="H22" s="296">
        <v>985</v>
      </c>
      <c r="I22" s="488">
        <v>0</v>
      </c>
      <c r="J22" s="491">
        <f t="shared" si="9"/>
        <v>2.0500000000000001E-2</v>
      </c>
      <c r="K22" s="459">
        <v>600</v>
      </c>
      <c r="L22" s="489">
        <v>1</v>
      </c>
      <c r="M22" s="489">
        <v>1</v>
      </c>
      <c r="N22" s="489">
        <v>0.5</v>
      </c>
      <c r="O22" s="83" t="s">
        <v>84</v>
      </c>
      <c r="P22" s="192">
        <f t="shared" si="4"/>
        <v>300</v>
      </c>
      <c r="Q22" s="214">
        <v>0.5</v>
      </c>
    </row>
    <row r="23" spans="1:17" s="1" customFormat="1" ht="15.6">
      <c r="A23" s="459">
        <v>16</v>
      </c>
      <c r="B23" s="460" t="s">
        <v>70</v>
      </c>
      <c r="C23" s="465">
        <v>9750</v>
      </c>
      <c r="D23" s="462">
        <f t="shared" si="1"/>
        <v>4554</v>
      </c>
      <c r="E23" s="302">
        <f t="shared" ref="E23:E36" si="11">SUM(F23+I23)</f>
        <v>8830</v>
      </c>
      <c r="F23" s="462">
        <f t="shared" si="5"/>
        <v>5330</v>
      </c>
      <c r="G23" s="462">
        <v>10164</v>
      </c>
      <c r="H23" s="296">
        <v>9750</v>
      </c>
      <c r="I23" s="488">
        <v>3500</v>
      </c>
      <c r="J23" s="491">
        <f t="shared" si="9"/>
        <v>1.41E-2</v>
      </c>
      <c r="K23" s="459">
        <v>400</v>
      </c>
      <c r="L23" s="489">
        <v>1</v>
      </c>
      <c r="M23" s="459">
        <v>1.03</v>
      </c>
      <c r="N23" s="489">
        <v>0.5</v>
      </c>
      <c r="O23" s="83" t="s">
        <v>84</v>
      </c>
      <c r="P23" s="192">
        <f t="shared" si="4"/>
        <v>206</v>
      </c>
      <c r="Q23" s="214">
        <v>0.5</v>
      </c>
    </row>
    <row r="24" spans="1:17" s="1" customFormat="1" ht="15.6">
      <c r="A24" s="459">
        <v>17</v>
      </c>
      <c r="B24" s="460" t="s">
        <v>71</v>
      </c>
      <c r="C24" s="463">
        <f>D24+I24</f>
        <v>24334</v>
      </c>
      <c r="D24" s="462">
        <f t="shared" si="1"/>
        <v>20834</v>
      </c>
      <c r="E24" s="462">
        <f t="shared" si="11"/>
        <v>27881</v>
      </c>
      <c r="F24" s="462">
        <f t="shared" si="5"/>
        <v>24381</v>
      </c>
      <c r="G24" s="462">
        <v>45770</v>
      </c>
      <c r="H24" s="296">
        <v>50</v>
      </c>
      <c r="I24" s="488">
        <v>3500</v>
      </c>
      <c r="J24" s="491">
        <f t="shared" si="9"/>
        <v>6.4500000000000002E-2</v>
      </c>
      <c r="K24" s="459">
        <v>1800</v>
      </c>
      <c r="L24" s="489">
        <v>1</v>
      </c>
      <c r="M24" s="459">
        <v>1.05</v>
      </c>
      <c r="N24" s="489">
        <v>0.5</v>
      </c>
      <c r="O24" s="83" t="s">
        <v>84</v>
      </c>
      <c r="P24" s="192">
        <f t="shared" si="4"/>
        <v>945</v>
      </c>
      <c r="Q24" s="214">
        <v>0.5</v>
      </c>
    </row>
    <row r="25" spans="1:17" s="1" customFormat="1" ht="15.6">
      <c r="A25" s="459">
        <v>18</v>
      </c>
      <c r="B25" s="460" t="s">
        <v>72</v>
      </c>
      <c r="C25" s="465">
        <v>13234</v>
      </c>
      <c r="D25" s="462">
        <f t="shared" si="1"/>
        <v>6945</v>
      </c>
      <c r="E25" s="302">
        <f t="shared" si="11"/>
        <v>8127</v>
      </c>
      <c r="F25" s="462">
        <f t="shared" si="5"/>
        <v>8127</v>
      </c>
      <c r="G25" s="462">
        <v>13534</v>
      </c>
      <c r="H25" s="296">
        <v>13234</v>
      </c>
      <c r="I25" s="488">
        <v>0</v>
      </c>
      <c r="J25" s="491">
        <f t="shared" si="9"/>
        <v>2.1499999999999998E-2</v>
      </c>
      <c r="K25" s="459">
        <v>600</v>
      </c>
      <c r="L25" s="489">
        <v>1</v>
      </c>
      <c r="M25" s="459">
        <v>1.05</v>
      </c>
      <c r="N25" s="489">
        <v>0.5</v>
      </c>
      <c r="O25" s="83" t="s">
        <v>84</v>
      </c>
      <c r="P25" s="192">
        <f t="shared" si="4"/>
        <v>315</v>
      </c>
      <c r="Q25" s="214">
        <v>0.5</v>
      </c>
    </row>
    <row r="26" spans="1:17" s="1" customFormat="1" ht="15.6">
      <c r="A26" s="459">
        <v>19</v>
      </c>
      <c r="B26" s="460" t="s">
        <v>73</v>
      </c>
      <c r="C26" s="465">
        <v>27782</v>
      </c>
      <c r="D26" s="462">
        <f t="shared" si="1"/>
        <v>8010</v>
      </c>
      <c r="E26" s="302">
        <f t="shared" si="11"/>
        <v>9374</v>
      </c>
      <c r="F26" s="462">
        <f t="shared" si="5"/>
        <v>9374</v>
      </c>
      <c r="G26" s="462">
        <v>27782</v>
      </c>
      <c r="H26" s="296">
        <v>27782</v>
      </c>
      <c r="I26" s="488">
        <v>0</v>
      </c>
      <c r="J26" s="491">
        <f t="shared" si="9"/>
        <v>2.4799999999999999E-2</v>
      </c>
      <c r="K26" s="459">
        <v>700</v>
      </c>
      <c r="L26" s="489">
        <v>1</v>
      </c>
      <c r="M26" s="459">
        <v>1.04</v>
      </c>
      <c r="N26" s="489">
        <v>0.5</v>
      </c>
      <c r="O26" s="225"/>
      <c r="P26" s="192">
        <f t="shared" si="4"/>
        <v>364</v>
      </c>
      <c r="Q26" s="214">
        <v>0.5</v>
      </c>
    </row>
    <row r="27" spans="1:17" s="1" customFormat="1" ht="19.95" customHeight="1">
      <c r="A27" s="459">
        <v>20</v>
      </c>
      <c r="B27" s="460" t="s">
        <v>75</v>
      </c>
      <c r="C27" s="465">
        <v>14700</v>
      </c>
      <c r="D27" s="462">
        <f t="shared" si="1"/>
        <v>10207</v>
      </c>
      <c r="E27" s="462">
        <f t="shared" si="11"/>
        <v>15445</v>
      </c>
      <c r="F27" s="462">
        <f t="shared" si="5"/>
        <v>11945</v>
      </c>
      <c r="G27" s="462">
        <v>18453</v>
      </c>
      <c r="H27" s="296">
        <v>14700</v>
      </c>
      <c r="I27" s="488">
        <v>3500</v>
      </c>
      <c r="J27" s="491">
        <f t="shared" si="9"/>
        <v>3.1600000000000003E-2</v>
      </c>
      <c r="K27" s="459">
        <v>900</v>
      </c>
      <c r="L27" s="489">
        <v>1</v>
      </c>
      <c r="M27" s="489">
        <v>1.03</v>
      </c>
      <c r="N27" s="489">
        <v>0.5</v>
      </c>
      <c r="O27" s="497"/>
      <c r="P27" s="192">
        <f t="shared" si="4"/>
        <v>463.5</v>
      </c>
      <c r="Q27" s="214">
        <v>0.5</v>
      </c>
    </row>
    <row r="28" spans="1:17" s="1" customFormat="1" ht="19.95" customHeight="1">
      <c r="A28" s="459">
        <v>21</v>
      </c>
      <c r="B28" s="460" t="s">
        <v>64</v>
      </c>
      <c r="C28" s="469">
        <f>D28+I28</f>
        <v>3973</v>
      </c>
      <c r="D28" s="462">
        <f t="shared" si="1"/>
        <v>3973</v>
      </c>
      <c r="E28" s="462">
        <f t="shared" si="11"/>
        <v>4649</v>
      </c>
      <c r="F28" s="462">
        <f t="shared" si="5"/>
        <v>4649</v>
      </c>
      <c r="G28" s="462">
        <v>4241</v>
      </c>
      <c r="H28" s="296">
        <v>2241</v>
      </c>
      <c r="I28" s="488">
        <v>0</v>
      </c>
      <c r="J28" s="491">
        <f t="shared" ref="J28:J36" si="12">P28/14658.41</f>
        <v>1.23E-2</v>
      </c>
      <c r="K28" s="459">
        <v>360</v>
      </c>
      <c r="L28" s="489">
        <v>1</v>
      </c>
      <c r="M28" s="489">
        <v>1</v>
      </c>
      <c r="N28" s="489">
        <v>0.5</v>
      </c>
      <c r="O28" s="83" t="s">
        <v>85</v>
      </c>
      <c r="P28" s="192">
        <f t="shared" si="4"/>
        <v>180</v>
      </c>
      <c r="Q28" s="214">
        <v>0.5</v>
      </c>
    </row>
    <row r="29" spans="1:17" s="1" customFormat="1" ht="16.8">
      <c r="A29" s="459">
        <v>22</v>
      </c>
      <c r="B29" s="460" t="s">
        <v>65</v>
      </c>
      <c r="C29" s="469">
        <f t="shared" ref="C29:C32" si="13">D29+I29</f>
        <v>9217</v>
      </c>
      <c r="D29" s="462">
        <f t="shared" si="1"/>
        <v>5717</v>
      </c>
      <c r="E29" s="462">
        <f t="shared" si="11"/>
        <v>10191</v>
      </c>
      <c r="F29" s="462">
        <f t="shared" si="5"/>
        <v>6691</v>
      </c>
      <c r="G29" s="462">
        <v>30000</v>
      </c>
      <c r="H29" s="308" t="s">
        <v>50</v>
      </c>
      <c r="I29" s="488">
        <v>3500</v>
      </c>
      <c r="J29" s="491">
        <f t="shared" si="12"/>
        <v>1.77E-2</v>
      </c>
      <c r="K29" s="459">
        <v>500</v>
      </c>
      <c r="L29" s="489">
        <v>1</v>
      </c>
      <c r="M29" s="489">
        <v>1.04</v>
      </c>
      <c r="N29" s="489">
        <v>0.5</v>
      </c>
      <c r="O29" s="83" t="s">
        <v>85</v>
      </c>
      <c r="P29" s="192">
        <f t="shared" ref="P29:P36" si="14">K29*L29*M29*N29</f>
        <v>260</v>
      </c>
      <c r="Q29" s="214">
        <v>0.25</v>
      </c>
    </row>
    <row r="30" spans="1:17" s="1" customFormat="1" ht="16.8">
      <c r="A30" s="459">
        <v>23</v>
      </c>
      <c r="B30" s="460" t="s">
        <v>66</v>
      </c>
      <c r="C30" s="469">
        <f t="shared" si="13"/>
        <v>5729</v>
      </c>
      <c r="D30" s="462">
        <f t="shared" si="1"/>
        <v>2229</v>
      </c>
      <c r="E30" s="462">
        <f t="shared" si="11"/>
        <v>6108</v>
      </c>
      <c r="F30" s="462">
        <f t="shared" si="5"/>
        <v>2608</v>
      </c>
      <c r="G30" s="462">
        <v>0</v>
      </c>
      <c r="H30" s="308" t="s">
        <v>50</v>
      </c>
      <c r="I30" s="488">
        <v>3500</v>
      </c>
      <c r="J30" s="491">
        <f t="shared" si="12"/>
        <v>6.8999999999999999E-3</v>
      </c>
      <c r="K30" s="459">
        <v>200</v>
      </c>
      <c r="L30" s="489">
        <v>1</v>
      </c>
      <c r="M30" s="489">
        <v>1.01</v>
      </c>
      <c r="N30" s="489">
        <v>0.5</v>
      </c>
      <c r="O30" s="83" t="s">
        <v>84</v>
      </c>
      <c r="P30" s="192">
        <f t="shared" si="14"/>
        <v>101</v>
      </c>
      <c r="Q30" s="214">
        <v>0.25</v>
      </c>
    </row>
    <row r="31" spans="1:17" s="1" customFormat="1" ht="15.6">
      <c r="A31" s="459">
        <v>24</v>
      </c>
      <c r="B31" s="460" t="s">
        <v>67</v>
      </c>
      <c r="C31" s="469">
        <f t="shared" si="13"/>
        <v>3295</v>
      </c>
      <c r="D31" s="462">
        <f t="shared" si="1"/>
        <v>3295</v>
      </c>
      <c r="E31" s="462">
        <f t="shared" si="11"/>
        <v>3856</v>
      </c>
      <c r="F31" s="462">
        <f t="shared" si="5"/>
        <v>3856</v>
      </c>
      <c r="G31" s="462">
        <v>1718</v>
      </c>
      <c r="H31" s="296">
        <v>1244</v>
      </c>
      <c r="I31" s="488">
        <v>0</v>
      </c>
      <c r="J31" s="491">
        <f t="shared" si="12"/>
        <v>1.0200000000000001E-2</v>
      </c>
      <c r="K31" s="459">
        <v>300</v>
      </c>
      <c r="L31" s="489">
        <v>1</v>
      </c>
      <c r="M31" s="489">
        <v>1</v>
      </c>
      <c r="N31" s="489">
        <v>0.5</v>
      </c>
      <c r="O31" s="83" t="s">
        <v>84</v>
      </c>
      <c r="P31" s="192">
        <f t="shared" si="14"/>
        <v>150</v>
      </c>
      <c r="Q31" s="214">
        <v>0.25</v>
      </c>
    </row>
    <row r="32" spans="1:17" s="1" customFormat="1" ht="15.6">
      <c r="A32" s="459">
        <v>25</v>
      </c>
      <c r="B32" s="460" t="s">
        <v>74</v>
      </c>
      <c r="C32" s="469">
        <f t="shared" si="13"/>
        <v>10929</v>
      </c>
      <c r="D32" s="462">
        <f t="shared" si="1"/>
        <v>7429</v>
      </c>
      <c r="E32" s="462">
        <f t="shared" si="11"/>
        <v>12194</v>
      </c>
      <c r="F32" s="462">
        <f t="shared" si="5"/>
        <v>8694</v>
      </c>
      <c r="G32" s="462">
        <v>11898</v>
      </c>
      <c r="H32" s="296">
        <v>6898</v>
      </c>
      <c r="I32" s="488">
        <v>3500</v>
      </c>
      <c r="J32" s="491">
        <f t="shared" si="12"/>
        <v>2.3E-2</v>
      </c>
      <c r="K32" s="459">
        <v>1125</v>
      </c>
      <c r="L32" s="489">
        <v>0.6</v>
      </c>
      <c r="M32" s="489">
        <v>1</v>
      </c>
      <c r="N32" s="489">
        <v>0.5</v>
      </c>
      <c r="O32" s="83" t="s">
        <v>84</v>
      </c>
      <c r="P32" s="192">
        <f t="shared" si="14"/>
        <v>337.5</v>
      </c>
      <c r="Q32" s="214">
        <v>0.5</v>
      </c>
    </row>
    <row r="33" spans="1:17" s="64" customFormat="1" ht="15.6">
      <c r="A33" s="459">
        <v>26</v>
      </c>
      <c r="B33" s="460" t="s">
        <v>76</v>
      </c>
      <c r="C33" s="469">
        <f>D33+I33+420000-419946</f>
        <v>9110</v>
      </c>
      <c r="D33" s="462">
        <f t="shared" si="1"/>
        <v>5556</v>
      </c>
      <c r="E33" s="462">
        <f t="shared" si="11"/>
        <v>10002</v>
      </c>
      <c r="F33" s="462">
        <f t="shared" si="5"/>
        <v>6502</v>
      </c>
      <c r="G33" s="462">
        <v>5890</v>
      </c>
      <c r="H33" s="296">
        <v>4930</v>
      </c>
      <c r="I33" s="488">
        <v>3500</v>
      </c>
      <c r="J33" s="491">
        <f t="shared" si="12"/>
        <v>1.72E-2</v>
      </c>
      <c r="K33" s="459">
        <v>500</v>
      </c>
      <c r="L33" s="489">
        <v>1</v>
      </c>
      <c r="M33" s="489">
        <v>1.01</v>
      </c>
      <c r="N33" s="489">
        <v>0.5</v>
      </c>
      <c r="O33" s="83" t="s">
        <v>84</v>
      </c>
      <c r="P33" s="192">
        <f t="shared" si="14"/>
        <v>252.5</v>
      </c>
      <c r="Q33" s="214">
        <v>0.5</v>
      </c>
    </row>
    <row r="34" spans="1:17" s="1" customFormat="1" ht="15.6">
      <c r="A34" s="459">
        <v>27</v>
      </c>
      <c r="B34" s="460" t="s">
        <v>77</v>
      </c>
      <c r="C34" s="470">
        <v>10000</v>
      </c>
      <c r="D34" s="462">
        <f t="shared" si="1"/>
        <v>5556</v>
      </c>
      <c r="E34" s="302">
        <f t="shared" si="11"/>
        <v>6502</v>
      </c>
      <c r="F34" s="462">
        <f t="shared" si="5"/>
        <v>6502</v>
      </c>
      <c r="G34" s="462">
        <v>10000</v>
      </c>
      <c r="H34" s="299">
        <v>10000</v>
      </c>
      <c r="I34" s="488">
        <v>0</v>
      </c>
      <c r="J34" s="491">
        <f t="shared" si="12"/>
        <v>1.72E-2</v>
      </c>
      <c r="K34" s="459">
        <v>500</v>
      </c>
      <c r="L34" s="489">
        <v>1</v>
      </c>
      <c r="M34" s="489">
        <v>1.01</v>
      </c>
      <c r="N34" s="489">
        <v>0.5</v>
      </c>
      <c r="O34" s="83" t="s">
        <v>84</v>
      </c>
      <c r="P34" s="192">
        <f t="shared" si="14"/>
        <v>252.5</v>
      </c>
      <c r="Q34" s="214">
        <v>0.5</v>
      </c>
    </row>
    <row r="35" spans="1:17" s="1" customFormat="1" ht="15.6">
      <c r="A35" s="459">
        <v>28</v>
      </c>
      <c r="B35" s="460" t="s">
        <v>78</v>
      </c>
      <c r="C35" s="469">
        <f>D35+I35</f>
        <v>8107</v>
      </c>
      <c r="D35" s="462">
        <f t="shared" si="1"/>
        <v>8107</v>
      </c>
      <c r="E35" s="462">
        <f t="shared" si="11"/>
        <v>9488</v>
      </c>
      <c r="F35" s="462">
        <f t="shared" si="5"/>
        <v>9488</v>
      </c>
      <c r="G35" s="462">
        <v>7068</v>
      </c>
      <c r="H35" s="296">
        <v>7068</v>
      </c>
      <c r="I35" s="488">
        <v>0</v>
      </c>
      <c r="J35" s="491">
        <f t="shared" si="12"/>
        <v>2.5100000000000001E-2</v>
      </c>
      <c r="K35" s="459">
        <v>900</v>
      </c>
      <c r="L35" s="489">
        <v>0.8</v>
      </c>
      <c r="M35" s="489">
        <v>1.02</v>
      </c>
      <c r="N35" s="489">
        <v>0.5</v>
      </c>
      <c r="O35" s="83" t="s">
        <v>84</v>
      </c>
      <c r="P35" s="192">
        <f t="shared" si="14"/>
        <v>367.2</v>
      </c>
      <c r="Q35" s="214">
        <v>0.5</v>
      </c>
    </row>
    <row r="36" spans="1:17" s="1" customFormat="1" ht="16.8">
      <c r="A36" s="459">
        <v>29</v>
      </c>
      <c r="B36" s="471" t="s">
        <v>79</v>
      </c>
      <c r="C36" s="469">
        <f>D36+I36</f>
        <v>1550</v>
      </c>
      <c r="D36" s="462">
        <f t="shared" si="1"/>
        <v>1550</v>
      </c>
      <c r="E36" s="462">
        <f t="shared" si="11"/>
        <v>1814</v>
      </c>
      <c r="F36" s="462">
        <f t="shared" si="5"/>
        <v>1814</v>
      </c>
      <c r="G36" s="462">
        <v>1649</v>
      </c>
      <c r="H36" s="308" t="s">
        <v>50</v>
      </c>
      <c r="I36" s="488">
        <v>0</v>
      </c>
      <c r="J36" s="491">
        <f t="shared" si="12"/>
        <v>4.7999999999999996E-3</v>
      </c>
      <c r="K36" s="459">
        <v>140</v>
      </c>
      <c r="L36" s="489">
        <v>1</v>
      </c>
      <c r="M36" s="489">
        <v>1</v>
      </c>
      <c r="N36" s="489">
        <v>0.5</v>
      </c>
      <c r="O36" s="83" t="s">
        <v>84</v>
      </c>
      <c r="P36" s="192">
        <f t="shared" si="14"/>
        <v>70</v>
      </c>
      <c r="Q36" s="214">
        <v>0.5</v>
      </c>
    </row>
    <row r="37" spans="1:17" s="163" customFormat="1" ht="31.2">
      <c r="A37" s="472"/>
      <c r="B37" s="473" t="s">
        <v>80</v>
      </c>
      <c r="C37" s="463">
        <f>SUM(C20:C36)</f>
        <v>188662</v>
      </c>
      <c r="D37" s="462">
        <f t="shared" si="1"/>
        <v>0</v>
      </c>
      <c r="E37" s="474"/>
      <c r="F37" s="468"/>
      <c r="G37" s="468"/>
      <c r="H37" s="475"/>
      <c r="I37" s="494"/>
      <c r="J37" s="495"/>
      <c r="K37" s="474"/>
      <c r="L37" s="474"/>
      <c r="M37" s="474"/>
      <c r="N37" s="474"/>
      <c r="O37" s="229"/>
      <c r="P37" s="230"/>
      <c r="Q37" s="229"/>
    </row>
    <row r="38" spans="1:17" s="64" customFormat="1" ht="15.6">
      <c r="A38" s="476"/>
      <c r="B38" s="477"/>
      <c r="C38" s="236"/>
      <c r="D38" s="478"/>
      <c r="E38" s="479"/>
      <c r="F38" s="478"/>
      <c r="G38" s="480"/>
      <c r="H38" s="175"/>
      <c r="I38" s="498"/>
      <c r="J38" s="499"/>
      <c r="K38" s="479"/>
      <c r="L38" s="479"/>
      <c r="M38" s="479"/>
      <c r="N38" s="479"/>
      <c r="O38" s="232"/>
      <c r="P38" s="233"/>
      <c r="Q38" s="232"/>
    </row>
    <row r="40" spans="1:17">
      <c r="C40" s="481"/>
      <c r="Q40" s="234"/>
    </row>
    <row r="41" spans="1:17">
      <c r="H41" s="208"/>
    </row>
  </sheetData>
  <mergeCells count="1">
    <mergeCell ref="A3:O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2"/>
  <sheetViews>
    <sheetView workbookViewId="0">
      <selection activeCell="R13" sqref="R13"/>
    </sheetView>
  </sheetViews>
  <sheetFormatPr defaultColWidth="9" defaultRowHeight="14.4"/>
  <cols>
    <col min="1" max="1" width="6.6640625" style="164" customWidth="1"/>
    <col min="2" max="2" width="14.77734375" style="165" customWidth="1"/>
    <col min="3" max="3" width="11" style="166" customWidth="1"/>
    <col min="4" max="4" width="11.88671875" style="167" hidden="1" customWidth="1"/>
    <col min="5" max="5" width="13.21875" style="166" hidden="1" customWidth="1"/>
    <col min="6" max="6" width="16.21875" style="168" hidden="1" customWidth="1"/>
    <col min="7" max="7" width="8.33203125" style="169" customWidth="1"/>
    <col min="8" max="8" width="8.6640625" style="166" customWidth="1"/>
    <col min="9" max="9" width="9.77734375" style="170" customWidth="1"/>
    <col min="10" max="10" width="10.44140625" style="164" customWidth="1"/>
    <col min="11" max="11" width="8.21875" style="164" customWidth="1"/>
    <col min="12" max="12" width="8.88671875" style="164" customWidth="1"/>
    <col min="13" max="13" width="13.21875" style="164" customWidth="1"/>
    <col min="14" max="14" width="13.21875" hidden="1" customWidth="1"/>
    <col min="15" max="15" width="10.88671875" style="5" hidden="1" customWidth="1"/>
    <col min="16" max="16" width="9.44140625" hidden="1" customWidth="1"/>
    <col min="17" max="30" width="9" style="1"/>
  </cols>
  <sheetData>
    <row r="1" spans="1:30" ht="17.399999999999999">
      <c r="A1" s="171" t="s">
        <v>0</v>
      </c>
      <c r="B1" s="172"/>
      <c r="C1" s="173"/>
      <c r="D1" s="174"/>
      <c r="E1" s="173"/>
      <c r="F1" s="174"/>
      <c r="G1" s="175"/>
      <c r="H1" s="173"/>
      <c r="I1" s="209"/>
      <c r="J1" s="173"/>
      <c r="K1" s="173"/>
      <c r="L1" s="173"/>
      <c r="M1" s="173"/>
      <c r="N1" s="210"/>
    </row>
    <row r="2" spans="1:30">
      <c r="A2" s="176"/>
      <c r="B2" s="172"/>
      <c r="C2" s="173"/>
      <c r="D2" s="174"/>
      <c r="E2" s="173"/>
      <c r="F2" s="174"/>
      <c r="G2" s="175"/>
      <c r="H2" s="173"/>
      <c r="I2" s="209"/>
      <c r="J2" s="173"/>
      <c r="K2" s="173"/>
      <c r="L2" s="173"/>
      <c r="M2" s="173"/>
      <c r="N2" s="210"/>
    </row>
    <row r="3" spans="1:30" ht="20.399999999999999">
      <c r="A3" s="537" t="s">
        <v>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8"/>
    </row>
    <row r="4" spans="1:30" ht="17.399999999999999">
      <c r="A4" s="177"/>
      <c r="B4" s="178"/>
      <c r="C4" s="177"/>
      <c r="D4" s="179"/>
      <c r="E4" s="177"/>
      <c r="F4" s="179"/>
      <c r="G4" s="180"/>
      <c r="H4" s="177"/>
      <c r="I4" s="211"/>
      <c r="J4" s="177"/>
      <c r="K4" s="177"/>
      <c r="L4" s="177"/>
      <c r="M4" s="177"/>
      <c r="N4" s="210"/>
    </row>
    <row r="5" spans="1:30" s="141" customFormat="1" ht="51" customHeight="1">
      <c r="A5" s="181" t="s">
        <v>1</v>
      </c>
      <c r="B5" s="181" t="s">
        <v>2</v>
      </c>
      <c r="C5" s="181" t="s">
        <v>36</v>
      </c>
      <c r="D5" s="182" t="s">
        <v>37</v>
      </c>
      <c r="E5" s="181" t="s">
        <v>38</v>
      </c>
      <c r="F5" s="182" t="s">
        <v>39</v>
      </c>
      <c r="G5" s="183" t="s">
        <v>5</v>
      </c>
      <c r="H5" s="181" t="s">
        <v>41</v>
      </c>
      <c r="I5" s="212" t="s">
        <v>42</v>
      </c>
      <c r="J5" s="181" t="s">
        <v>43</v>
      </c>
      <c r="K5" s="181" t="s">
        <v>44</v>
      </c>
      <c r="L5" s="181" t="s">
        <v>45</v>
      </c>
      <c r="M5" s="181" t="s">
        <v>4</v>
      </c>
      <c r="N5" s="181" t="s">
        <v>81</v>
      </c>
      <c r="O5" s="181" t="s">
        <v>46</v>
      </c>
      <c r="P5" s="213" t="s">
        <v>47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s="3" customFormat="1" ht="15.6">
      <c r="A6" s="184"/>
      <c r="B6" s="185" t="s">
        <v>86</v>
      </c>
      <c r="C6" s="186">
        <f>C19+C28+C38</f>
        <v>420000</v>
      </c>
      <c r="D6" s="187">
        <f>SUM(D7:D38)</f>
        <v>319133</v>
      </c>
      <c r="E6" s="187" t="e">
        <f>SUM(E7:E38)</f>
        <v>#REF!</v>
      </c>
      <c r="F6" s="187">
        <f>SUM(F7:F37)</f>
        <v>378075</v>
      </c>
      <c r="G6" s="188"/>
      <c r="H6" s="184">
        <f>SUM(H7:H38)</f>
        <v>42000</v>
      </c>
      <c r="I6" s="214">
        <f>SUM(I7:I38)</f>
        <v>1</v>
      </c>
      <c r="J6" s="184">
        <f>SUM(J7:J37)</f>
        <v>24330</v>
      </c>
      <c r="K6" s="184"/>
      <c r="L6" s="184"/>
      <c r="M6" s="184"/>
      <c r="N6" s="184"/>
      <c r="O6" s="215">
        <f>SUM(O7:O38)</f>
        <v>14081.156000000001</v>
      </c>
      <c r="P6" s="21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0" s="1" customFormat="1" ht="16.8">
      <c r="A7" s="184">
        <v>1</v>
      </c>
      <c r="B7" s="185" t="s">
        <v>87</v>
      </c>
      <c r="C7" s="187">
        <f>D7+H7</f>
        <v>2074</v>
      </c>
      <c r="D7" s="187">
        <f>F7*(1-0.1559)</f>
        <v>2074</v>
      </c>
      <c r="E7" s="187">
        <f t="shared" ref="E7:E37" si="0">SUM(F7+H7)</f>
        <v>2457</v>
      </c>
      <c r="F7" s="187">
        <f>(42-4.2)*10000*I7</f>
        <v>2457</v>
      </c>
      <c r="G7" s="189" t="s">
        <v>50</v>
      </c>
      <c r="H7" s="184">
        <v>0</v>
      </c>
      <c r="I7" s="217">
        <f>O7/14081.156</f>
        <v>6.4999999999999997E-3</v>
      </c>
      <c r="J7" s="184">
        <v>140</v>
      </c>
      <c r="K7" s="184">
        <v>1</v>
      </c>
      <c r="L7" s="218">
        <v>1</v>
      </c>
      <c r="M7" s="218">
        <v>0.65</v>
      </c>
      <c r="N7" s="83" t="s">
        <v>82</v>
      </c>
      <c r="O7" s="192">
        <f>J7*K7*L7*M7</f>
        <v>91</v>
      </c>
      <c r="P7" s="214">
        <v>0.65</v>
      </c>
    </row>
    <row r="8" spans="1:30" s="1" customFormat="1" ht="16.8">
      <c r="A8" s="184">
        <v>2</v>
      </c>
      <c r="B8" s="185" t="s">
        <v>88</v>
      </c>
      <c r="C8" s="187">
        <f t="shared" ref="C8:C11" si="1">D8+H8</f>
        <v>1850</v>
      </c>
      <c r="D8" s="187">
        <f t="shared" ref="D8:D18" si="2">F8*(1-0.1559)</f>
        <v>1850</v>
      </c>
      <c r="E8" s="187">
        <f t="shared" si="0"/>
        <v>2192</v>
      </c>
      <c r="F8" s="187">
        <f t="shared" ref="F8:F37" si="3">(42-4.2)*10000*I8</f>
        <v>2192</v>
      </c>
      <c r="G8" s="189" t="s">
        <v>50</v>
      </c>
      <c r="H8" s="184">
        <v>0</v>
      </c>
      <c r="I8" s="217">
        <f t="shared" ref="I8:I18" si="4">O8/14081.156</f>
        <v>5.7999999999999996E-3</v>
      </c>
      <c r="J8" s="184">
        <v>125</v>
      </c>
      <c r="K8" s="184">
        <v>1</v>
      </c>
      <c r="L8" s="218">
        <v>1</v>
      </c>
      <c r="M8" s="218">
        <v>0.65</v>
      </c>
      <c r="N8" s="83" t="s">
        <v>82</v>
      </c>
      <c r="O8" s="192">
        <f t="shared" ref="O8:O18" si="5">J8*K8*L8*M8</f>
        <v>81.25</v>
      </c>
      <c r="P8" s="214">
        <v>0.65</v>
      </c>
    </row>
    <row r="9" spans="1:30" s="4" customFormat="1" ht="15.6">
      <c r="A9" s="184">
        <v>3</v>
      </c>
      <c r="B9" s="185" t="s">
        <v>89</v>
      </c>
      <c r="C9" s="187">
        <f t="shared" si="1"/>
        <v>34418</v>
      </c>
      <c r="D9" s="187">
        <f t="shared" si="2"/>
        <v>30918</v>
      </c>
      <c r="E9" s="187">
        <f t="shared" si="0"/>
        <v>40128</v>
      </c>
      <c r="F9" s="187">
        <f t="shared" si="3"/>
        <v>36628</v>
      </c>
      <c r="G9" s="190">
        <v>12199</v>
      </c>
      <c r="H9" s="184">
        <v>3500</v>
      </c>
      <c r="I9" s="217">
        <f t="shared" si="4"/>
        <v>9.69E-2</v>
      </c>
      <c r="J9" s="184">
        <v>2000</v>
      </c>
      <c r="K9" s="184">
        <v>1</v>
      </c>
      <c r="L9" s="184">
        <v>1.05</v>
      </c>
      <c r="M9" s="218">
        <v>0.65</v>
      </c>
      <c r="N9" s="159" t="s">
        <v>82</v>
      </c>
      <c r="O9" s="192">
        <f t="shared" si="5"/>
        <v>1365</v>
      </c>
      <c r="P9" s="219">
        <v>0.65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1" customFormat="1" ht="16.8">
      <c r="A10" s="184">
        <v>4</v>
      </c>
      <c r="B10" s="185" t="s">
        <v>90</v>
      </c>
      <c r="C10" s="187">
        <f t="shared" si="1"/>
        <v>1468</v>
      </c>
      <c r="D10" s="187">
        <f t="shared" si="2"/>
        <v>1468</v>
      </c>
      <c r="E10" s="187">
        <f t="shared" si="0"/>
        <v>1739</v>
      </c>
      <c r="F10" s="187">
        <f t="shared" si="3"/>
        <v>1739</v>
      </c>
      <c r="G10" s="189" t="s">
        <v>50</v>
      </c>
      <c r="H10" s="184">
        <v>0</v>
      </c>
      <c r="I10" s="217">
        <f t="shared" si="4"/>
        <v>4.5999999999999999E-3</v>
      </c>
      <c r="J10" s="184">
        <v>100</v>
      </c>
      <c r="K10" s="184">
        <v>1</v>
      </c>
      <c r="L10" s="218">
        <v>1</v>
      </c>
      <c r="M10" s="218">
        <v>0.65</v>
      </c>
      <c r="N10" s="83" t="s">
        <v>82</v>
      </c>
      <c r="O10" s="192">
        <f t="shared" si="5"/>
        <v>65</v>
      </c>
      <c r="P10" s="214">
        <v>0.65</v>
      </c>
    </row>
    <row r="11" spans="1:30" s="1" customFormat="1" ht="15.6">
      <c r="A11" s="184">
        <v>5</v>
      </c>
      <c r="B11" s="185" t="s">
        <v>91</v>
      </c>
      <c r="C11" s="187">
        <f t="shared" si="1"/>
        <v>14422</v>
      </c>
      <c r="D11" s="187">
        <f t="shared" si="2"/>
        <v>14422</v>
      </c>
      <c r="E11" s="187">
        <f t="shared" si="0"/>
        <v>17086</v>
      </c>
      <c r="F11" s="187">
        <f t="shared" si="3"/>
        <v>17086</v>
      </c>
      <c r="G11" s="190">
        <v>7481</v>
      </c>
      <c r="H11" s="184">
        <v>0</v>
      </c>
      <c r="I11" s="217">
        <f t="shared" si="4"/>
        <v>4.5199999999999997E-2</v>
      </c>
      <c r="J11" s="184">
        <v>950</v>
      </c>
      <c r="K11" s="184">
        <v>1</v>
      </c>
      <c r="L11" s="184">
        <v>1.03</v>
      </c>
      <c r="M11" s="218">
        <v>0.65</v>
      </c>
      <c r="N11" s="83" t="s">
        <v>83</v>
      </c>
      <c r="O11" s="192">
        <f t="shared" si="5"/>
        <v>636.02499999999998</v>
      </c>
      <c r="P11" s="214">
        <v>0.5</v>
      </c>
    </row>
    <row r="12" spans="1:30" s="4" customFormat="1" ht="15.6">
      <c r="A12" s="184">
        <v>6</v>
      </c>
      <c r="B12" s="191" t="s">
        <v>56</v>
      </c>
      <c r="C12" s="190">
        <v>36490</v>
      </c>
      <c r="D12" s="187">
        <f t="shared" si="2"/>
        <v>12029</v>
      </c>
      <c r="E12" s="199">
        <f t="shared" si="0"/>
        <v>17751</v>
      </c>
      <c r="F12" s="187">
        <f t="shared" si="3"/>
        <v>14251</v>
      </c>
      <c r="G12" s="190">
        <v>36490</v>
      </c>
      <c r="H12" s="184">
        <v>3500</v>
      </c>
      <c r="I12" s="217">
        <f t="shared" si="4"/>
        <v>3.7699999999999997E-2</v>
      </c>
      <c r="J12" s="184">
        <v>800</v>
      </c>
      <c r="K12" s="184">
        <v>1</v>
      </c>
      <c r="L12" s="184">
        <v>1.02</v>
      </c>
      <c r="M12" s="218">
        <v>0.65</v>
      </c>
      <c r="N12" s="159" t="s">
        <v>83</v>
      </c>
      <c r="O12" s="192">
        <f t="shared" si="5"/>
        <v>530.4</v>
      </c>
      <c r="P12" s="219">
        <v>0.5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" customFormat="1" ht="16.8">
      <c r="A13" s="184">
        <v>13</v>
      </c>
      <c r="B13" s="185" t="s">
        <v>92</v>
      </c>
      <c r="C13" s="187">
        <f>D13+H13</f>
        <v>43648</v>
      </c>
      <c r="D13" s="187">
        <f t="shared" si="2"/>
        <v>43648</v>
      </c>
      <c r="E13" s="187">
        <f>SUM(F13+H17)</f>
        <v>55210</v>
      </c>
      <c r="F13" s="187">
        <f t="shared" si="3"/>
        <v>51710</v>
      </c>
      <c r="G13" s="189" t="s">
        <v>50</v>
      </c>
      <c r="I13" s="217">
        <f t="shared" si="4"/>
        <v>0.1368</v>
      </c>
      <c r="J13" s="184">
        <v>2600</v>
      </c>
      <c r="K13" s="184">
        <v>1</v>
      </c>
      <c r="L13" s="218">
        <v>1.1399999999999999</v>
      </c>
      <c r="M13" s="218">
        <v>0.65</v>
      </c>
      <c r="N13" s="83" t="s">
        <v>82</v>
      </c>
      <c r="O13" s="192">
        <f t="shared" si="5"/>
        <v>1926.6</v>
      </c>
      <c r="P13" s="214">
        <v>0.65</v>
      </c>
    </row>
    <row r="14" spans="1:30" s="1" customFormat="1" ht="15.6">
      <c r="A14" s="184">
        <v>7</v>
      </c>
      <c r="B14" s="185" t="s">
        <v>93</v>
      </c>
      <c r="C14" s="187">
        <f t="shared" ref="C14:C18" si="6">D14+H14</f>
        <v>19708</v>
      </c>
      <c r="D14" s="187">
        <f t="shared" si="2"/>
        <v>16208</v>
      </c>
      <c r="E14" s="187">
        <f t="shared" si="0"/>
        <v>22702</v>
      </c>
      <c r="F14" s="187">
        <f t="shared" si="3"/>
        <v>19202</v>
      </c>
      <c r="G14" s="190">
        <v>11885</v>
      </c>
      <c r="H14" s="184">
        <v>3500</v>
      </c>
      <c r="I14" s="217">
        <f t="shared" si="4"/>
        <v>5.0799999999999998E-2</v>
      </c>
      <c r="J14" s="184">
        <v>1000</v>
      </c>
      <c r="K14" s="184">
        <v>1</v>
      </c>
      <c r="L14" s="218">
        <v>1.1000000000000001</v>
      </c>
      <c r="M14" s="218">
        <v>0.65</v>
      </c>
      <c r="N14" s="83" t="s">
        <v>83</v>
      </c>
      <c r="O14" s="192">
        <f t="shared" si="5"/>
        <v>715</v>
      </c>
      <c r="P14" s="214">
        <v>0.5</v>
      </c>
    </row>
    <row r="15" spans="1:30" s="4" customFormat="1" ht="15.6">
      <c r="A15" s="184">
        <v>8</v>
      </c>
      <c r="B15" s="185" t="s">
        <v>94</v>
      </c>
      <c r="C15" s="187">
        <f t="shared" si="6"/>
        <v>53030</v>
      </c>
      <c r="D15" s="187">
        <f t="shared" si="2"/>
        <v>53030</v>
      </c>
      <c r="E15" s="187">
        <f t="shared" si="0"/>
        <v>62824</v>
      </c>
      <c r="F15" s="187">
        <f t="shared" si="3"/>
        <v>62824</v>
      </c>
      <c r="G15" s="190">
        <v>21397</v>
      </c>
      <c r="H15" s="192">
        <v>0</v>
      </c>
      <c r="I15" s="217">
        <f t="shared" si="4"/>
        <v>0.16619999999999999</v>
      </c>
      <c r="J15" s="184">
        <v>3000</v>
      </c>
      <c r="K15" s="184">
        <v>1</v>
      </c>
      <c r="L15" s="218">
        <v>1.2</v>
      </c>
      <c r="M15" s="218">
        <v>0.65</v>
      </c>
      <c r="N15" s="159" t="s">
        <v>83</v>
      </c>
      <c r="O15" s="192">
        <f t="shared" si="5"/>
        <v>2340</v>
      </c>
      <c r="P15" s="219">
        <v>0.5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4" customFormat="1" ht="16.8">
      <c r="A16" s="184">
        <v>9</v>
      </c>
      <c r="B16" s="185" t="s">
        <v>95</v>
      </c>
      <c r="C16" s="187">
        <f t="shared" si="6"/>
        <v>12689</v>
      </c>
      <c r="D16" s="187">
        <f t="shared" si="2"/>
        <v>9189</v>
      </c>
      <c r="E16" s="187">
        <f t="shared" si="0"/>
        <v>14386</v>
      </c>
      <c r="F16" s="187">
        <f t="shared" si="3"/>
        <v>10886</v>
      </c>
      <c r="G16" s="189" t="s">
        <v>50</v>
      </c>
      <c r="H16" s="184">
        <v>3500</v>
      </c>
      <c r="I16" s="217">
        <f t="shared" si="4"/>
        <v>2.8799999999999999E-2</v>
      </c>
      <c r="J16" s="184">
        <v>600</v>
      </c>
      <c r="K16" s="184">
        <v>1</v>
      </c>
      <c r="L16" s="218">
        <v>1.04</v>
      </c>
      <c r="M16" s="218">
        <v>0.65</v>
      </c>
      <c r="N16" s="159" t="s">
        <v>82</v>
      </c>
      <c r="O16" s="192">
        <f t="shared" si="5"/>
        <v>405.6</v>
      </c>
      <c r="P16" s="219">
        <v>0.65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1" customFormat="1" ht="16.8">
      <c r="A17" s="184">
        <v>10</v>
      </c>
      <c r="B17" s="185" t="s">
        <v>96</v>
      </c>
      <c r="C17" s="187">
        <f t="shared" si="6"/>
        <v>15529</v>
      </c>
      <c r="D17" s="187">
        <f t="shared" si="2"/>
        <v>12029</v>
      </c>
      <c r="E17" s="187" t="e">
        <f>SUM(F17+#REF!)</f>
        <v>#REF!</v>
      </c>
      <c r="F17" s="187">
        <f t="shared" si="3"/>
        <v>14251</v>
      </c>
      <c r="G17" s="189" t="s">
        <v>50</v>
      </c>
      <c r="H17" s="184">
        <v>3500</v>
      </c>
      <c r="I17" s="217">
        <f t="shared" si="4"/>
        <v>3.7699999999999997E-2</v>
      </c>
      <c r="J17" s="184">
        <v>800</v>
      </c>
      <c r="K17" s="184">
        <v>1</v>
      </c>
      <c r="L17" s="218">
        <v>1.02</v>
      </c>
      <c r="M17" s="218">
        <v>0.65</v>
      </c>
      <c r="N17" s="83" t="s">
        <v>82</v>
      </c>
      <c r="O17" s="192">
        <f t="shared" si="5"/>
        <v>530.4</v>
      </c>
      <c r="P17" s="214">
        <v>0.65</v>
      </c>
    </row>
    <row r="18" spans="1:30" s="4" customFormat="1" ht="15.6">
      <c r="A18" s="184">
        <v>11</v>
      </c>
      <c r="B18" s="185" t="s">
        <v>97</v>
      </c>
      <c r="C18" s="187">
        <f t="shared" si="6"/>
        <v>4872</v>
      </c>
      <c r="D18" s="187">
        <f t="shared" si="2"/>
        <v>1372</v>
      </c>
      <c r="E18" s="187">
        <f t="shared" si="0"/>
        <v>5125</v>
      </c>
      <c r="F18" s="187">
        <f t="shared" si="3"/>
        <v>1625</v>
      </c>
      <c r="G18" s="190">
        <v>25</v>
      </c>
      <c r="H18" s="184">
        <v>3500</v>
      </c>
      <c r="I18" s="217">
        <f t="shared" si="4"/>
        <v>4.3E-3</v>
      </c>
      <c r="J18" s="184">
        <v>90</v>
      </c>
      <c r="K18" s="184">
        <v>1</v>
      </c>
      <c r="L18" s="218">
        <v>1.03</v>
      </c>
      <c r="M18" s="218">
        <v>0.65</v>
      </c>
      <c r="N18" s="159" t="s">
        <v>82</v>
      </c>
      <c r="O18" s="192">
        <f t="shared" si="5"/>
        <v>60.255000000000003</v>
      </c>
      <c r="P18" s="219">
        <v>0.65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162" customFormat="1" ht="15.6">
      <c r="A19" s="193"/>
      <c r="B19" s="194" t="s">
        <v>62</v>
      </c>
      <c r="C19" s="195">
        <f>SUM(C7:C18)</f>
        <v>240198</v>
      </c>
      <c r="D19" s="195"/>
      <c r="E19" s="195"/>
      <c r="F19" s="195"/>
      <c r="G19" s="196"/>
      <c r="H19" s="193"/>
      <c r="I19" s="441"/>
      <c r="J19" s="193"/>
      <c r="K19" s="193"/>
      <c r="L19" s="220"/>
      <c r="M19" s="220"/>
      <c r="N19" s="221"/>
      <c r="O19" s="222"/>
      <c r="P19" s="223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</row>
    <row r="20" spans="1:30" s="4" customFormat="1" ht="15.6">
      <c r="A20" s="184">
        <v>12</v>
      </c>
      <c r="B20" s="185" t="s">
        <v>98</v>
      </c>
      <c r="C20" s="187">
        <f t="shared" ref="C20:C22" si="7">D20+H20</f>
        <v>10424</v>
      </c>
      <c r="D20" s="187">
        <f>F20*(1-0.1559)</f>
        <v>6924</v>
      </c>
      <c r="E20" s="187">
        <f t="shared" si="0"/>
        <v>11703</v>
      </c>
      <c r="F20" s="187">
        <f t="shared" si="3"/>
        <v>8203</v>
      </c>
      <c r="G20" s="190">
        <v>5890</v>
      </c>
      <c r="H20" s="184">
        <v>3500</v>
      </c>
      <c r="I20" s="217">
        <f>O20/14081.156</f>
        <v>2.1700000000000001E-2</v>
      </c>
      <c r="J20" s="184">
        <v>600</v>
      </c>
      <c r="K20" s="184">
        <v>1</v>
      </c>
      <c r="L20" s="218">
        <v>1.02</v>
      </c>
      <c r="M20" s="218">
        <v>0.5</v>
      </c>
      <c r="N20" s="159" t="s">
        <v>83</v>
      </c>
      <c r="O20" s="224">
        <f t="shared" ref="O20:O27" si="8">J20*K20*L20*M20</f>
        <v>306</v>
      </c>
      <c r="P20" s="219">
        <v>0.65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15.6">
      <c r="A21" s="184">
        <v>14</v>
      </c>
      <c r="B21" s="185" t="s">
        <v>99</v>
      </c>
      <c r="C21" s="187">
        <f t="shared" si="7"/>
        <v>24249</v>
      </c>
      <c r="D21" s="187">
        <f t="shared" ref="D21:D27" si="9">F21*(1-0.1559)</f>
        <v>24249</v>
      </c>
      <c r="E21" s="187">
        <f t="shared" si="0"/>
        <v>28728</v>
      </c>
      <c r="F21" s="187">
        <f t="shared" si="3"/>
        <v>28728</v>
      </c>
      <c r="G21" s="190">
        <v>7167</v>
      </c>
      <c r="H21" s="184">
        <v>0</v>
      </c>
      <c r="I21" s="217">
        <f t="shared" ref="I21:I27" si="10">O21/14081.156</f>
        <v>7.5999999999999998E-2</v>
      </c>
      <c r="J21" s="184">
        <v>2000</v>
      </c>
      <c r="K21" s="184">
        <v>1</v>
      </c>
      <c r="L21" s="218">
        <v>1.07</v>
      </c>
      <c r="M21" s="218">
        <v>0.5</v>
      </c>
      <c r="N21" s="83" t="s">
        <v>83</v>
      </c>
      <c r="O21" s="224">
        <f t="shared" si="8"/>
        <v>1070</v>
      </c>
      <c r="P21" s="214">
        <v>0.5</v>
      </c>
    </row>
    <row r="22" spans="1:30" s="64" customFormat="1" ht="15.6">
      <c r="A22" s="184">
        <v>15</v>
      </c>
      <c r="B22" s="185" t="s">
        <v>100</v>
      </c>
      <c r="C22" s="187">
        <f t="shared" si="7"/>
        <v>6796</v>
      </c>
      <c r="D22" s="187">
        <f t="shared" si="9"/>
        <v>6796</v>
      </c>
      <c r="E22" s="187">
        <f t="shared" si="0"/>
        <v>8051</v>
      </c>
      <c r="F22" s="187">
        <f t="shared" si="3"/>
        <v>8051</v>
      </c>
      <c r="G22" s="190">
        <v>985</v>
      </c>
      <c r="H22" s="184">
        <v>0</v>
      </c>
      <c r="I22" s="217">
        <f t="shared" si="10"/>
        <v>2.1299999999999999E-2</v>
      </c>
      <c r="J22" s="184">
        <v>600</v>
      </c>
      <c r="K22" s="184">
        <v>1</v>
      </c>
      <c r="L22" s="218">
        <v>1</v>
      </c>
      <c r="M22" s="218">
        <v>0.5</v>
      </c>
      <c r="N22" s="83" t="s">
        <v>84</v>
      </c>
      <c r="O22" s="224">
        <f t="shared" si="8"/>
        <v>300</v>
      </c>
      <c r="P22" s="214">
        <v>0.5</v>
      </c>
    </row>
    <row r="23" spans="1:30" s="4" customFormat="1" ht="15.6">
      <c r="A23" s="184">
        <v>16</v>
      </c>
      <c r="B23" s="191" t="s">
        <v>101</v>
      </c>
      <c r="C23" s="190">
        <v>9750</v>
      </c>
      <c r="D23" s="187">
        <f t="shared" si="9"/>
        <v>4659</v>
      </c>
      <c r="E23" s="199">
        <f t="shared" si="0"/>
        <v>9019</v>
      </c>
      <c r="F23" s="187">
        <f t="shared" si="3"/>
        <v>5519</v>
      </c>
      <c r="G23" s="190">
        <v>9750</v>
      </c>
      <c r="H23" s="184">
        <v>3500</v>
      </c>
      <c r="I23" s="217">
        <f t="shared" si="10"/>
        <v>1.46E-2</v>
      </c>
      <c r="J23" s="184">
        <v>400</v>
      </c>
      <c r="K23" s="184">
        <v>1</v>
      </c>
      <c r="L23" s="184">
        <v>1.03</v>
      </c>
      <c r="M23" s="218">
        <v>0.5</v>
      </c>
      <c r="N23" s="159" t="s">
        <v>84</v>
      </c>
      <c r="O23" s="224">
        <f t="shared" si="8"/>
        <v>206</v>
      </c>
      <c r="P23" s="219">
        <v>0.5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4" customFormat="1" ht="15.6">
      <c r="A24" s="184">
        <v>17</v>
      </c>
      <c r="B24" s="185" t="s">
        <v>102</v>
      </c>
      <c r="C24" s="187">
        <f>D24+H24</f>
        <v>24910</v>
      </c>
      <c r="D24" s="187">
        <f t="shared" si="9"/>
        <v>21410</v>
      </c>
      <c r="E24" s="187">
        <f t="shared" si="0"/>
        <v>28864</v>
      </c>
      <c r="F24" s="187">
        <f t="shared" si="3"/>
        <v>25364</v>
      </c>
      <c r="G24" s="190">
        <v>50</v>
      </c>
      <c r="H24" s="184">
        <v>3500</v>
      </c>
      <c r="I24" s="217">
        <f t="shared" si="10"/>
        <v>6.7100000000000007E-2</v>
      </c>
      <c r="J24" s="184">
        <v>1800</v>
      </c>
      <c r="K24" s="184">
        <v>1</v>
      </c>
      <c r="L24" s="184">
        <v>1.05</v>
      </c>
      <c r="M24" s="218">
        <v>0.5</v>
      </c>
      <c r="N24" s="159" t="s">
        <v>84</v>
      </c>
      <c r="O24" s="224">
        <f t="shared" si="8"/>
        <v>945</v>
      </c>
      <c r="P24" s="219">
        <v>0.5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1" customFormat="1" ht="15.6">
      <c r="A25" s="184">
        <v>18</v>
      </c>
      <c r="B25" s="191" t="s">
        <v>103</v>
      </c>
      <c r="C25" s="190">
        <v>13234</v>
      </c>
      <c r="D25" s="187">
        <f t="shared" si="9"/>
        <v>7147</v>
      </c>
      <c r="E25" s="199">
        <f t="shared" si="0"/>
        <v>8467</v>
      </c>
      <c r="F25" s="187">
        <f t="shared" si="3"/>
        <v>8467</v>
      </c>
      <c r="G25" s="190">
        <v>13234</v>
      </c>
      <c r="H25" s="184">
        <v>0</v>
      </c>
      <c r="I25" s="217">
        <f t="shared" si="10"/>
        <v>2.24E-2</v>
      </c>
      <c r="J25" s="184">
        <v>600</v>
      </c>
      <c r="K25" s="184">
        <v>1</v>
      </c>
      <c r="L25" s="184">
        <v>1.05</v>
      </c>
      <c r="M25" s="218">
        <v>0.5</v>
      </c>
      <c r="N25" s="83" t="s">
        <v>84</v>
      </c>
      <c r="O25" s="224">
        <f t="shared" si="8"/>
        <v>315</v>
      </c>
      <c r="P25" s="214">
        <v>0.5</v>
      </c>
    </row>
    <row r="26" spans="1:30" s="1" customFormat="1" ht="15.6">
      <c r="A26" s="184">
        <v>19</v>
      </c>
      <c r="B26" s="191" t="s">
        <v>104</v>
      </c>
      <c r="C26" s="190">
        <v>27782</v>
      </c>
      <c r="D26" s="187">
        <f t="shared" si="9"/>
        <v>8264</v>
      </c>
      <c r="E26" s="199">
        <f t="shared" si="0"/>
        <v>9790</v>
      </c>
      <c r="F26" s="187">
        <f t="shared" si="3"/>
        <v>9790</v>
      </c>
      <c r="G26" s="190">
        <v>27782</v>
      </c>
      <c r="H26" s="184">
        <v>0</v>
      </c>
      <c r="I26" s="217">
        <f t="shared" si="10"/>
        <v>2.5899999999999999E-2</v>
      </c>
      <c r="J26" s="184">
        <v>700</v>
      </c>
      <c r="K26" s="184">
        <v>1</v>
      </c>
      <c r="L26" s="184">
        <v>1.04</v>
      </c>
      <c r="M26" s="218">
        <v>0.5</v>
      </c>
      <c r="N26" s="225"/>
      <c r="O26" s="224">
        <f t="shared" si="8"/>
        <v>364</v>
      </c>
      <c r="P26" s="214">
        <v>0.5</v>
      </c>
    </row>
    <row r="27" spans="1:30" s="4" customFormat="1" ht="25.5" customHeight="1">
      <c r="A27" s="184">
        <v>20</v>
      </c>
      <c r="B27" s="191" t="s">
        <v>105</v>
      </c>
      <c r="C27" s="190">
        <v>14700</v>
      </c>
      <c r="D27" s="187">
        <f t="shared" si="9"/>
        <v>10497</v>
      </c>
      <c r="E27" s="187">
        <f t="shared" si="0"/>
        <v>15936</v>
      </c>
      <c r="F27" s="187">
        <f t="shared" si="3"/>
        <v>12436</v>
      </c>
      <c r="G27" s="190">
        <v>14700</v>
      </c>
      <c r="H27" s="184">
        <v>3500</v>
      </c>
      <c r="I27" s="217">
        <f t="shared" si="10"/>
        <v>3.2899999999999999E-2</v>
      </c>
      <c r="J27" s="184">
        <v>900</v>
      </c>
      <c r="K27" s="184">
        <v>1</v>
      </c>
      <c r="L27" s="218">
        <v>1.03</v>
      </c>
      <c r="M27" s="218">
        <v>0.5</v>
      </c>
      <c r="N27" s="226"/>
      <c r="O27" s="224">
        <f t="shared" si="8"/>
        <v>463.5</v>
      </c>
      <c r="P27" s="219">
        <v>0.5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162" customFormat="1" ht="25.5" customHeight="1">
      <c r="A28" s="193"/>
      <c r="B28" s="197" t="s">
        <v>106</v>
      </c>
      <c r="C28" s="198">
        <f>SUM(C20:C27)</f>
        <v>131845</v>
      </c>
      <c r="D28" s="195"/>
      <c r="E28" s="187">
        <f t="shared" si="0"/>
        <v>0</v>
      </c>
      <c r="F28" s="195"/>
      <c r="G28" s="196"/>
      <c r="H28" s="193"/>
      <c r="I28" s="441"/>
      <c r="J28" s="193"/>
      <c r="K28" s="193"/>
      <c r="L28" s="220"/>
      <c r="M28" s="220"/>
      <c r="N28" s="227"/>
      <c r="O28" s="222"/>
      <c r="P28" s="223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</row>
    <row r="29" spans="1:30" s="1" customFormat="1" ht="25.2" customHeight="1">
      <c r="A29" s="184">
        <v>21</v>
      </c>
      <c r="B29" s="185" t="s">
        <v>107</v>
      </c>
      <c r="C29" s="188">
        <f>D29+H29</f>
        <v>2840</v>
      </c>
      <c r="D29" s="187">
        <f>F29*(1-0.1559)</f>
        <v>2840</v>
      </c>
      <c r="E29" s="187">
        <f t="shared" si="0"/>
        <v>3364</v>
      </c>
      <c r="F29" s="187">
        <f t="shared" si="3"/>
        <v>3364</v>
      </c>
      <c r="G29" s="190">
        <v>2241</v>
      </c>
      <c r="H29" s="184">
        <v>0</v>
      </c>
      <c r="I29" s="217">
        <f>O29/14081.56</f>
        <v>8.8999999999999999E-3</v>
      </c>
      <c r="J29" s="184">
        <v>360</v>
      </c>
      <c r="K29" s="184">
        <v>1</v>
      </c>
      <c r="L29" s="218">
        <v>1</v>
      </c>
      <c r="M29" s="218">
        <v>0.35</v>
      </c>
      <c r="N29" s="83" t="s">
        <v>85</v>
      </c>
      <c r="O29" s="192">
        <f t="shared" ref="O29:O37" si="11">J29*K29*L29*M29</f>
        <v>126</v>
      </c>
      <c r="P29" s="214">
        <v>0.5</v>
      </c>
    </row>
    <row r="30" spans="1:30" s="4" customFormat="1" ht="16.8">
      <c r="A30" s="184">
        <v>22</v>
      </c>
      <c r="B30" s="185" t="s">
        <v>108</v>
      </c>
      <c r="C30" s="188">
        <f t="shared" ref="C30:C32" si="12">D30+H30</f>
        <v>7616</v>
      </c>
      <c r="D30" s="187">
        <f t="shared" ref="D30:D37" si="13">F30*(1-0.1559)</f>
        <v>4116</v>
      </c>
      <c r="E30" s="187">
        <f t="shared" si="0"/>
        <v>8376</v>
      </c>
      <c r="F30" s="187">
        <f t="shared" si="3"/>
        <v>4876</v>
      </c>
      <c r="G30" s="189" t="s">
        <v>50</v>
      </c>
      <c r="H30" s="184">
        <v>3500</v>
      </c>
      <c r="I30" s="217">
        <f t="shared" ref="I30:I37" si="14">O30/14081.56</f>
        <v>1.29E-2</v>
      </c>
      <c r="J30" s="184">
        <v>500</v>
      </c>
      <c r="K30" s="184">
        <v>1</v>
      </c>
      <c r="L30" s="218">
        <v>1.04</v>
      </c>
      <c r="M30" s="218">
        <v>0.35</v>
      </c>
      <c r="N30" s="159" t="s">
        <v>85</v>
      </c>
      <c r="O30" s="192">
        <f t="shared" si="11"/>
        <v>182</v>
      </c>
      <c r="P30" s="219">
        <v>0.25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1" customFormat="1" ht="16.8">
      <c r="A31" s="184">
        <v>23</v>
      </c>
      <c r="B31" s="185" t="s">
        <v>109</v>
      </c>
      <c r="C31" s="188">
        <f t="shared" si="12"/>
        <v>5095</v>
      </c>
      <c r="D31" s="187">
        <f t="shared" si="13"/>
        <v>1595</v>
      </c>
      <c r="E31" s="187">
        <f t="shared" si="0"/>
        <v>5390</v>
      </c>
      <c r="F31" s="187">
        <f t="shared" si="3"/>
        <v>1890</v>
      </c>
      <c r="G31" s="189" t="s">
        <v>50</v>
      </c>
      <c r="H31" s="184">
        <v>3500</v>
      </c>
      <c r="I31" s="217">
        <f t="shared" si="14"/>
        <v>5.0000000000000001E-3</v>
      </c>
      <c r="J31" s="184">
        <v>200</v>
      </c>
      <c r="K31" s="184">
        <v>1</v>
      </c>
      <c r="L31" s="218">
        <v>1.01</v>
      </c>
      <c r="M31" s="218">
        <v>0.35</v>
      </c>
      <c r="N31" s="83" t="s">
        <v>84</v>
      </c>
      <c r="O31" s="192">
        <f t="shared" si="11"/>
        <v>70.7</v>
      </c>
      <c r="P31" s="214">
        <v>0.25</v>
      </c>
    </row>
    <row r="32" spans="1:30" s="1" customFormat="1" ht="15.6">
      <c r="A32" s="184">
        <v>24</v>
      </c>
      <c r="B32" s="185" t="s">
        <v>110</v>
      </c>
      <c r="C32" s="188">
        <f t="shared" si="12"/>
        <v>2393</v>
      </c>
      <c r="D32" s="187">
        <f t="shared" si="13"/>
        <v>2393</v>
      </c>
      <c r="E32" s="187">
        <f t="shared" si="0"/>
        <v>2835</v>
      </c>
      <c r="F32" s="187">
        <f t="shared" si="3"/>
        <v>2835</v>
      </c>
      <c r="G32" s="190">
        <v>1244</v>
      </c>
      <c r="H32" s="184">
        <v>0</v>
      </c>
      <c r="I32" s="217">
        <f t="shared" si="14"/>
        <v>7.4999999999999997E-3</v>
      </c>
      <c r="J32" s="184">
        <v>300</v>
      </c>
      <c r="K32" s="184">
        <v>1</v>
      </c>
      <c r="L32" s="218">
        <v>1</v>
      </c>
      <c r="M32" s="218">
        <v>0.35</v>
      </c>
      <c r="N32" s="83" t="s">
        <v>84</v>
      </c>
      <c r="O32" s="192">
        <f t="shared" si="11"/>
        <v>105</v>
      </c>
      <c r="P32" s="214">
        <v>0.25</v>
      </c>
    </row>
    <row r="33" spans="1:16" s="1" customFormat="1" ht="15.6">
      <c r="A33" s="184">
        <v>25</v>
      </c>
      <c r="B33" s="185" t="s">
        <v>111</v>
      </c>
      <c r="C33" s="190">
        <v>6898</v>
      </c>
      <c r="D33" s="187">
        <f t="shared" si="13"/>
        <v>5233</v>
      </c>
      <c r="E33" s="199">
        <f t="shared" si="0"/>
        <v>6199</v>
      </c>
      <c r="F33" s="187">
        <f t="shared" si="3"/>
        <v>6199</v>
      </c>
      <c r="G33" s="190">
        <v>6898</v>
      </c>
      <c r="H33" s="184">
        <v>0</v>
      </c>
      <c r="I33" s="217">
        <f t="shared" si="14"/>
        <v>1.6400000000000001E-2</v>
      </c>
      <c r="J33" s="184">
        <v>1125</v>
      </c>
      <c r="K33" s="184">
        <v>0.58799999999999997</v>
      </c>
      <c r="L33" s="218">
        <v>1</v>
      </c>
      <c r="M33" s="218">
        <v>0.35</v>
      </c>
      <c r="N33" s="83" t="s">
        <v>84</v>
      </c>
      <c r="O33" s="192">
        <f t="shared" si="11"/>
        <v>231.52500000000001</v>
      </c>
      <c r="P33" s="214">
        <v>0.5</v>
      </c>
    </row>
    <row r="34" spans="1:16" s="64" customFormat="1" ht="15.6">
      <c r="A34" s="184">
        <v>26</v>
      </c>
      <c r="B34" s="185" t="s">
        <v>112</v>
      </c>
      <c r="C34" s="190">
        <v>4930</v>
      </c>
      <c r="D34" s="187">
        <f t="shared" si="13"/>
        <v>4020</v>
      </c>
      <c r="E34" s="199">
        <f t="shared" si="0"/>
        <v>4763</v>
      </c>
      <c r="F34" s="187">
        <f t="shared" si="3"/>
        <v>4763</v>
      </c>
      <c r="G34" s="190">
        <v>4930</v>
      </c>
      <c r="H34" s="184">
        <v>0</v>
      </c>
      <c r="I34" s="217">
        <f t="shared" si="14"/>
        <v>1.26E-2</v>
      </c>
      <c r="J34" s="184">
        <v>500</v>
      </c>
      <c r="K34" s="184">
        <v>1</v>
      </c>
      <c r="L34" s="218">
        <v>1.01</v>
      </c>
      <c r="M34" s="218">
        <v>0.35</v>
      </c>
      <c r="N34" s="83" t="s">
        <v>84</v>
      </c>
      <c r="O34" s="192">
        <f t="shared" si="11"/>
        <v>176.75</v>
      </c>
      <c r="P34" s="214">
        <v>0.5</v>
      </c>
    </row>
    <row r="35" spans="1:16" s="1" customFormat="1" ht="15.6">
      <c r="A35" s="184">
        <v>27</v>
      </c>
      <c r="B35" s="185" t="s">
        <v>113</v>
      </c>
      <c r="C35" s="200">
        <v>10000</v>
      </c>
      <c r="D35" s="187">
        <f t="shared" si="13"/>
        <v>4020</v>
      </c>
      <c r="E35" s="199">
        <f t="shared" si="0"/>
        <v>4763</v>
      </c>
      <c r="F35" s="187">
        <f t="shared" si="3"/>
        <v>4763</v>
      </c>
      <c r="G35" s="200">
        <v>10000</v>
      </c>
      <c r="H35" s="184">
        <v>0</v>
      </c>
      <c r="I35" s="217">
        <f t="shared" si="14"/>
        <v>1.26E-2</v>
      </c>
      <c r="J35" s="184">
        <v>500</v>
      </c>
      <c r="K35" s="184">
        <v>1</v>
      </c>
      <c r="L35" s="218">
        <v>1.01</v>
      </c>
      <c r="M35" s="218">
        <v>0.35</v>
      </c>
      <c r="N35" s="83" t="s">
        <v>84</v>
      </c>
      <c r="O35" s="192">
        <f t="shared" si="11"/>
        <v>176.75</v>
      </c>
      <c r="P35" s="214">
        <v>0.5</v>
      </c>
    </row>
    <row r="36" spans="1:16" s="1" customFormat="1" ht="15.6">
      <c r="A36" s="184">
        <v>28</v>
      </c>
      <c r="B36" s="185" t="s">
        <v>114</v>
      </c>
      <c r="C36" s="190">
        <v>7068</v>
      </c>
      <c r="D36" s="187">
        <f t="shared" si="13"/>
        <v>5616</v>
      </c>
      <c r="E36" s="199">
        <f t="shared" si="0"/>
        <v>6653</v>
      </c>
      <c r="F36" s="187">
        <f t="shared" si="3"/>
        <v>6653</v>
      </c>
      <c r="G36" s="190">
        <v>7068</v>
      </c>
      <c r="H36" s="184">
        <v>0</v>
      </c>
      <c r="I36" s="217">
        <f t="shared" si="14"/>
        <v>1.7600000000000001E-2</v>
      </c>
      <c r="J36" s="184">
        <v>900</v>
      </c>
      <c r="K36" s="184">
        <v>0.77</v>
      </c>
      <c r="L36" s="218">
        <v>1.02</v>
      </c>
      <c r="M36" s="218">
        <v>0.35</v>
      </c>
      <c r="N36" s="83" t="s">
        <v>84</v>
      </c>
      <c r="O36" s="192">
        <f t="shared" si="11"/>
        <v>247.40100000000001</v>
      </c>
      <c r="P36" s="214">
        <v>0.5</v>
      </c>
    </row>
    <row r="37" spans="1:16" s="1" customFormat="1" ht="16.8">
      <c r="A37" s="184">
        <v>29</v>
      </c>
      <c r="B37" s="201" t="s">
        <v>79</v>
      </c>
      <c r="C37" s="187">
        <f>D37+H37</f>
        <v>1117</v>
      </c>
      <c r="D37" s="187">
        <f t="shared" si="13"/>
        <v>1117</v>
      </c>
      <c r="E37" s="187">
        <f t="shared" si="0"/>
        <v>1323</v>
      </c>
      <c r="F37" s="187">
        <f t="shared" si="3"/>
        <v>1323</v>
      </c>
      <c r="G37" s="189" t="s">
        <v>50</v>
      </c>
      <c r="H37" s="184">
        <v>0</v>
      </c>
      <c r="I37" s="217">
        <f t="shared" si="14"/>
        <v>3.5000000000000001E-3</v>
      </c>
      <c r="J37" s="184">
        <v>140</v>
      </c>
      <c r="K37" s="184">
        <v>1</v>
      </c>
      <c r="L37" s="218">
        <v>1</v>
      </c>
      <c r="M37" s="218">
        <v>0.35</v>
      </c>
      <c r="N37" s="83" t="s">
        <v>84</v>
      </c>
      <c r="O37" s="192">
        <f t="shared" si="11"/>
        <v>49</v>
      </c>
      <c r="P37" s="214">
        <v>0.5</v>
      </c>
    </row>
    <row r="38" spans="1:16" s="163" customFormat="1" ht="31.2">
      <c r="A38" s="202"/>
      <c r="B38" s="197" t="s">
        <v>115</v>
      </c>
      <c r="C38" s="195">
        <f>SUM(C29:C37)</f>
        <v>47957</v>
      </c>
      <c r="D38" s="195"/>
      <c r="E38" s="193"/>
      <c r="F38" s="195"/>
      <c r="G38" s="203"/>
      <c r="H38" s="193"/>
      <c r="I38" s="228"/>
      <c r="J38" s="193"/>
      <c r="K38" s="193"/>
      <c r="L38" s="193"/>
      <c r="M38" s="193"/>
      <c r="N38" s="229"/>
      <c r="O38" s="230"/>
      <c r="P38" s="229"/>
    </row>
    <row r="39" spans="1:16" s="64" customFormat="1" ht="15.6">
      <c r="A39" s="204"/>
      <c r="B39" s="205"/>
      <c r="D39" s="206"/>
      <c r="E39" s="207"/>
      <c r="F39" s="206"/>
      <c r="G39" s="175"/>
      <c r="H39" s="207"/>
      <c r="I39" s="231"/>
      <c r="J39" s="207"/>
      <c r="K39" s="207"/>
      <c r="L39" s="207"/>
      <c r="M39" s="207"/>
      <c r="N39" s="232"/>
      <c r="O39" s="233"/>
      <c r="P39" s="232"/>
    </row>
    <row r="41" spans="1:16">
      <c r="C41" s="167"/>
      <c r="P41" s="234"/>
    </row>
    <row r="42" spans="1:16">
      <c r="G42" s="208"/>
    </row>
  </sheetData>
  <mergeCells count="1">
    <mergeCell ref="A3:N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2"/>
  <sheetViews>
    <sheetView workbookViewId="0">
      <selection activeCell="G15" sqref="G15"/>
    </sheetView>
  </sheetViews>
  <sheetFormatPr defaultColWidth="9" defaultRowHeight="17.399999999999999"/>
  <cols>
    <col min="1" max="1" width="6.6640625" style="164" customWidth="1"/>
    <col min="2" max="2" width="14.77734375" style="165" customWidth="1"/>
    <col min="3" max="3" width="10.109375" style="166" customWidth="1"/>
    <col min="4" max="4" width="14.21875" style="167" hidden="1" customWidth="1"/>
    <col min="5" max="5" width="15.6640625" style="166" hidden="1" customWidth="1"/>
    <col min="6" max="6" width="17.77734375" style="168" hidden="1" customWidth="1"/>
    <col min="7" max="7" width="10.77734375" style="378" customWidth="1"/>
    <col min="8" max="8" width="8.6640625" style="166" customWidth="1"/>
    <col min="9" max="9" width="9.77734375" style="350" customWidth="1"/>
    <col min="10" max="10" width="10.44140625" style="164" customWidth="1"/>
    <col min="11" max="11" width="8.21875" style="164" customWidth="1"/>
    <col min="12" max="12" width="8.44140625" style="164" customWidth="1"/>
    <col min="13" max="13" width="8.44140625" style="164" hidden="1" customWidth="1"/>
    <col min="14" max="14" width="5.6640625" hidden="1" customWidth="1"/>
    <col min="15" max="15" width="10.21875" style="6" hidden="1" customWidth="1"/>
    <col min="16" max="16" width="9.21875" style="6" hidden="1" customWidth="1"/>
    <col min="17" max="17" width="12.21875" style="5" hidden="1" customWidth="1"/>
    <col min="18" max="18" width="9" hidden="1" customWidth="1"/>
    <col min="19" max="19" width="9" style="379"/>
    <col min="20" max="33" width="9" style="1"/>
  </cols>
  <sheetData>
    <row r="1" spans="1:33">
      <c r="A1" s="171" t="s">
        <v>0</v>
      </c>
      <c r="B1" s="172"/>
      <c r="C1" s="173"/>
      <c r="D1" s="174"/>
      <c r="E1" s="173"/>
      <c r="F1" s="174"/>
      <c r="G1" s="240"/>
      <c r="H1" s="173"/>
      <c r="I1" s="260"/>
      <c r="J1" s="173"/>
      <c r="K1" s="173"/>
      <c r="L1" s="173"/>
      <c r="M1" s="173"/>
      <c r="N1" s="210"/>
    </row>
    <row r="2" spans="1:33">
      <c r="A2" s="176"/>
      <c r="B2" s="172"/>
      <c r="C2" s="173"/>
      <c r="D2" s="174"/>
      <c r="E2" s="173"/>
      <c r="F2" s="174"/>
      <c r="G2" s="240"/>
      <c r="H2" s="173"/>
      <c r="I2" s="260"/>
      <c r="J2" s="173"/>
      <c r="K2" s="173"/>
      <c r="L2" s="173"/>
      <c r="M2" s="173"/>
      <c r="N2" s="210"/>
    </row>
    <row r="3" spans="1:33" ht="20.399999999999999">
      <c r="A3" s="537" t="s">
        <v>35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8"/>
    </row>
    <row r="4" spans="1:33">
      <c r="A4" s="177"/>
      <c r="B4" s="178"/>
      <c r="C4" s="177"/>
      <c r="D4" s="179"/>
      <c r="E4" s="177"/>
      <c r="F4" s="179"/>
      <c r="G4" s="380"/>
      <c r="H4" s="177"/>
      <c r="I4" s="177"/>
      <c r="J4" s="177"/>
      <c r="K4" s="177"/>
      <c r="L4" s="177"/>
      <c r="M4" s="177"/>
      <c r="N4" s="210"/>
    </row>
    <row r="5" spans="1:33" s="141" customFormat="1" ht="51" customHeight="1">
      <c r="A5" s="381" t="s">
        <v>1</v>
      </c>
      <c r="B5" s="381" t="s">
        <v>2</v>
      </c>
      <c r="C5" s="381" t="s">
        <v>36</v>
      </c>
      <c r="D5" s="382" t="s">
        <v>37</v>
      </c>
      <c r="E5" s="381" t="s">
        <v>38</v>
      </c>
      <c r="F5" s="382" t="s">
        <v>39</v>
      </c>
      <c r="G5" s="383" t="s">
        <v>5</v>
      </c>
      <c r="H5" s="381" t="s">
        <v>41</v>
      </c>
      <c r="I5" s="402" t="s">
        <v>42</v>
      </c>
      <c r="J5" s="381" t="s">
        <v>43</v>
      </c>
      <c r="K5" s="381" t="s">
        <v>44</v>
      </c>
      <c r="L5" s="381" t="s">
        <v>45</v>
      </c>
      <c r="M5" s="381" t="s">
        <v>4</v>
      </c>
      <c r="N5" s="381" t="s">
        <v>81</v>
      </c>
      <c r="O5" s="403"/>
      <c r="P5" s="403"/>
      <c r="Q5" s="381" t="s">
        <v>46</v>
      </c>
      <c r="R5" s="429" t="s">
        <v>47</v>
      </c>
      <c r="S5" s="430" t="s">
        <v>4</v>
      </c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</row>
    <row r="6" spans="1:33">
      <c r="A6" s="384"/>
      <c r="B6" s="385" t="s">
        <v>86</v>
      </c>
      <c r="C6" s="386">
        <f>C19+C28+C38</f>
        <v>420000</v>
      </c>
      <c r="D6" s="386">
        <f>SUM(D7:D38)</f>
        <v>317434</v>
      </c>
      <c r="E6" s="386">
        <f t="shared" ref="E6:E27" si="0">SUM(F6+H6)</f>
        <v>419923</v>
      </c>
      <c r="F6" s="386">
        <f>SUM(F7:F37)</f>
        <v>377923</v>
      </c>
      <c r="G6" s="387"/>
      <c r="H6" s="384">
        <f>SUM(H7:H38)</f>
        <v>42000</v>
      </c>
      <c r="I6" s="404">
        <f>SUM(I7:I38)</f>
        <v>1</v>
      </c>
      <c r="J6" s="384">
        <f>SUM(J7:J37)</f>
        <v>24330</v>
      </c>
      <c r="K6" s="384"/>
      <c r="L6" s="384"/>
      <c r="M6" s="384"/>
      <c r="N6" s="384"/>
      <c r="O6" s="405"/>
      <c r="P6" s="405"/>
      <c r="Q6" s="431">
        <f>SUM(Q7:Q38)</f>
        <v>13246.52</v>
      </c>
      <c r="R6" s="432"/>
      <c r="S6" s="433"/>
    </row>
    <row r="7" spans="1:33" s="1" customFormat="1">
      <c r="A7" s="384">
        <v>1</v>
      </c>
      <c r="B7" s="385" t="s">
        <v>87</v>
      </c>
      <c r="C7" s="386">
        <f>D7+H7</f>
        <v>2170</v>
      </c>
      <c r="D7" s="386">
        <f>F7*(1-0.168)</f>
        <v>2170</v>
      </c>
      <c r="E7" s="386">
        <f t="shared" si="0"/>
        <v>2608</v>
      </c>
      <c r="F7" s="386">
        <f>(42-4.2)*10000*I7</f>
        <v>2608</v>
      </c>
      <c r="G7" s="388" t="s">
        <v>50</v>
      </c>
      <c r="H7" s="384">
        <v>0</v>
      </c>
      <c r="I7" s="406">
        <f>Q7/13246.52</f>
        <v>6.8999999999999999E-3</v>
      </c>
      <c r="J7" s="384">
        <v>140</v>
      </c>
      <c r="K7" s="384">
        <v>1</v>
      </c>
      <c r="L7" s="404">
        <v>1</v>
      </c>
      <c r="M7" s="404">
        <v>0.65</v>
      </c>
      <c r="N7" s="407" t="s">
        <v>82</v>
      </c>
      <c r="O7" s="408" t="e">
        <f>P7/6679</f>
        <v>#REF!</v>
      </c>
      <c r="P7" s="409" t="e">
        <f>J7*L7*#REF!</f>
        <v>#REF!</v>
      </c>
      <c r="Q7" s="390">
        <f t="shared" ref="Q7:Q18" si="1">J7*K7*L7*M7</f>
        <v>91</v>
      </c>
      <c r="R7" s="434">
        <v>0.65</v>
      </c>
      <c r="S7" s="433">
        <v>0.65</v>
      </c>
    </row>
    <row r="8" spans="1:33" s="1" customFormat="1">
      <c r="A8" s="384">
        <v>2</v>
      </c>
      <c r="B8" s="385" t="s">
        <v>88</v>
      </c>
      <c r="C8" s="386">
        <f t="shared" ref="C8:C11" si="2">D8+H8</f>
        <v>1937</v>
      </c>
      <c r="D8" s="386">
        <f t="shared" ref="D8:D18" si="3">F8*(1-0.16)</f>
        <v>1937</v>
      </c>
      <c r="E8" s="386">
        <f t="shared" si="0"/>
        <v>2306</v>
      </c>
      <c r="F8" s="386">
        <f t="shared" ref="F8:F37" si="4">(42-4.2)*10000*I8</f>
        <v>2306</v>
      </c>
      <c r="G8" s="388" t="s">
        <v>50</v>
      </c>
      <c r="H8" s="384">
        <v>0</v>
      </c>
      <c r="I8" s="406">
        <f t="shared" ref="I8:I37" si="5">Q8/13246.52</f>
        <v>6.1000000000000004E-3</v>
      </c>
      <c r="J8" s="384">
        <v>125</v>
      </c>
      <c r="K8" s="384">
        <v>1</v>
      </c>
      <c r="L8" s="404">
        <v>1</v>
      </c>
      <c r="M8" s="404">
        <v>0.65</v>
      </c>
      <c r="N8" s="407" t="s">
        <v>82</v>
      </c>
      <c r="O8" s="408" t="e">
        <f t="shared" ref="O8:O25" si="6">P8/6679</f>
        <v>#REF!</v>
      </c>
      <c r="P8" s="409" t="e">
        <f>J8*L8*#REF!</f>
        <v>#REF!</v>
      </c>
      <c r="Q8" s="390">
        <f t="shared" si="1"/>
        <v>81.25</v>
      </c>
      <c r="R8" s="434">
        <v>0.65</v>
      </c>
      <c r="S8" s="433">
        <v>0.65</v>
      </c>
    </row>
    <row r="9" spans="1:33" s="4" customFormat="1">
      <c r="A9" s="384">
        <v>3</v>
      </c>
      <c r="B9" s="385" t="s">
        <v>89</v>
      </c>
      <c r="C9" s="386">
        <f t="shared" si="2"/>
        <v>36205</v>
      </c>
      <c r="D9" s="386">
        <f t="shared" si="3"/>
        <v>32705</v>
      </c>
      <c r="E9" s="386">
        <f t="shared" si="0"/>
        <v>42434</v>
      </c>
      <c r="F9" s="386">
        <f t="shared" si="4"/>
        <v>38934</v>
      </c>
      <c r="G9" s="387">
        <v>12199</v>
      </c>
      <c r="H9" s="384">
        <v>3500</v>
      </c>
      <c r="I9" s="406">
        <f t="shared" si="5"/>
        <v>0.10299999999999999</v>
      </c>
      <c r="J9" s="384">
        <v>2000</v>
      </c>
      <c r="K9" s="384">
        <v>1</v>
      </c>
      <c r="L9" s="384">
        <v>1.05</v>
      </c>
      <c r="M9" s="404">
        <v>0.65</v>
      </c>
      <c r="N9" s="410" t="s">
        <v>82</v>
      </c>
      <c r="O9" s="411" t="e">
        <f t="shared" si="6"/>
        <v>#REF!</v>
      </c>
      <c r="P9" s="412" t="e">
        <f>J9*L9*#REF!</f>
        <v>#REF!</v>
      </c>
      <c r="Q9" s="435">
        <f t="shared" si="1"/>
        <v>1365</v>
      </c>
      <c r="R9" s="436">
        <v>0.65</v>
      </c>
      <c r="S9" s="433">
        <v>0.65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" customFormat="1">
      <c r="A10" s="384">
        <v>4</v>
      </c>
      <c r="B10" s="385" t="s">
        <v>90</v>
      </c>
      <c r="C10" s="386">
        <f t="shared" si="2"/>
        <v>1556</v>
      </c>
      <c r="D10" s="386">
        <f t="shared" si="3"/>
        <v>1556</v>
      </c>
      <c r="E10" s="386">
        <f t="shared" si="0"/>
        <v>1852</v>
      </c>
      <c r="F10" s="386">
        <f t="shared" si="4"/>
        <v>1852</v>
      </c>
      <c r="G10" s="388" t="s">
        <v>50</v>
      </c>
      <c r="H10" s="384">
        <v>0</v>
      </c>
      <c r="I10" s="406">
        <f t="shared" si="5"/>
        <v>4.8999999999999998E-3</v>
      </c>
      <c r="J10" s="384">
        <v>100</v>
      </c>
      <c r="K10" s="384">
        <v>1</v>
      </c>
      <c r="L10" s="404">
        <v>1</v>
      </c>
      <c r="M10" s="404">
        <v>0.65</v>
      </c>
      <c r="N10" s="407" t="s">
        <v>82</v>
      </c>
      <c r="O10" s="408" t="e">
        <f t="shared" si="6"/>
        <v>#REF!</v>
      </c>
      <c r="P10" s="409" t="e">
        <f>J10*L10*#REF!</f>
        <v>#REF!</v>
      </c>
      <c r="Q10" s="390">
        <f t="shared" si="1"/>
        <v>65</v>
      </c>
      <c r="R10" s="434">
        <v>0.65</v>
      </c>
      <c r="S10" s="433">
        <v>0.65</v>
      </c>
    </row>
    <row r="11" spans="1:33" s="1" customFormat="1">
      <c r="A11" s="384">
        <v>5</v>
      </c>
      <c r="B11" s="385" t="s">
        <v>91</v>
      </c>
      <c r="C11" s="386">
        <f t="shared" si="2"/>
        <v>15241</v>
      </c>
      <c r="D11" s="386">
        <f t="shared" si="3"/>
        <v>15241</v>
      </c>
      <c r="E11" s="386">
        <f t="shared" si="0"/>
        <v>18144</v>
      </c>
      <c r="F11" s="386">
        <f t="shared" si="4"/>
        <v>18144</v>
      </c>
      <c r="G11" s="387">
        <v>7481</v>
      </c>
      <c r="H11" s="384">
        <v>0</v>
      </c>
      <c r="I11" s="406">
        <f t="shared" si="5"/>
        <v>4.8000000000000001E-2</v>
      </c>
      <c r="J11" s="384">
        <v>950</v>
      </c>
      <c r="K11" s="384">
        <v>1</v>
      </c>
      <c r="L11" s="384">
        <v>1.03</v>
      </c>
      <c r="M11" s="404">
        <v>0.65</v>
      </c>
      <c r="N11" s="407" t="s">
        <v>83</v>
      </c>
      <c r="O11" s="408" t="e">
        <f t="shared" si="6"/>
        <v>#REF!</v>
      </c>
      <c r="P11" s="409" t="e">
        <f>J11*L11*#REF!</f>
        <v>#REF!</v>
      </c>
      <c r="Q11" s="390">
        <f t="shared" si="1"/>
        <v>636.02499999999998</v>
      </c>
      <c r="R11" s="434">
        <v>0.5</v>
      </c>
      <c r="S11" s="433">
        <v>0.65</v>
      </c>
    </row>
    <row r="12" spans="1:33" s="4" customFormat="1">
      <c r="A12" s="384">
        <v>6</v>
      </c>
      <c r="B12" s="385" t="s">
        <v>116</v>
      </c>
      <c r="C12" s="389">
        <v>36490</v>
      </c>
      <c r="D12" s="386">
        <f t="shared" si="3"/>
        <v>12701</v>
      </c>
      <c r="E12" s="386">
        <f t="shared" si="0"/>
        <v>18620</v>
      </c>
      <c r="F12" s="386">
        <f t="shared" si="4"/>
        <v>15120</v>
      </c>
      <c r="G12" s="387">
        <v>36490</v>
      </c>
      <c r="H12" s="384">
        <v>3500</v>
      </c>
      <c r="I12" s="406">
        <f t="shared" si="5"/>
        <v>0.04</v>
      </c>
      <c r="J12" s="384">
        <v>800</v>
      </c>
      <c r="K12" s="384">
        <v>1</v>
      </c>
      <c r="L12" s="384">
        <v>1.02</v>
      </c>
      <c r="M12" s="404">
        <v>0.65</v>
      </c>
      <c r="N12" s="410" t="s">
        <v>83</v>
      </c>
      <c r="O12" s="411" t="e">
        <f t="shared" si="6"/>
        <v>#REF!</v>
      </c>
      <c r="P12" s="412" t="e">
        <f>J12*L12*#REF!</f>
        <v>#REF!</v>
      </c>
      <c r="Q12" s="435">
        <f t="shared" si="1"/>
        <v>530.4</v>
      </c>
      <c r="R12" s="436">
        <v>0.5</v>
      </c>
      <c r="S12" s="433">
        <v>0.65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" customFormat="1">
      <c r="A13" s="384">
        <v>13</v>
      </c>
      <c r="B13" s="385" t="s">
        <v>92</v>
      </c>
      <c r="C13" s="386">
        <f>D13+H13</f>
        <v>39030</v>
      </c>
      <c r="D13" s="386">
        <f t="shared" si="3"/>
        <v>35530</v>
      </c>
      <c r="E13" s="386">
        <f t="shared" si="0"/>
        <v>45798</v>
      </c>
      <c r="F13" s="386">
        <f t="shared" si="4"/>
        <v>42298</v>
      </c>
      <c r="G13" s="388" t="s">
        <v>50</v>
      </c>
      <c r="H13" s="384">
        <v>3500</v>
      </c>
      <c r="I13" s="406">
        <f t="shared" si="5"/>
        <v>0.1119</v>
      </c>
      <c r="J13" s="384">
        <v>2600</v>
      </c>
      <c r="K13" s="384">
        <v>1</v>
      </c>
      <c r="L13" s="404">
        <v>1.1399999999999999</v>
      </c>
      <c r="M13" s="404">
        <v>0.5</v>
      </c>
      <c r="N13" s="407" t="s">
        <v>82</v>
      </c>
      <c r="O13" s="408" t="e">
        <f>P13/7189</f>
        <v>#REF!</v>
      </c>
      <c r="P13" s="409" t="e">
        <f>J13*L13*#REF!</f>
        <v>#REF!</v>
      </c>
      <c r="Q13" s="390">
        <f t="shared" si="1"/>
        <v>1482</v>
      </c>
      <c r="R13" s="434">
        <v>0.65</v>
      </c>
      <c r="S13" s="433">
        <v>0.65</v>
      </c>
    </row>
    <row r="14" spans="1:33" s="1" customFormat="1">
      <c r="A14" s="384">
        <v>7</v>
      </c>
      <c r="B14" s="385" t="s">
        <v>93</v>
      </c>
      <c r="C14" s="386">
        <f t="shared" ref="C14:C18" si="7">D14+H14</f>
        <v>20646</v>
      </c>
      <c r="D14" s="386">
        <f t="shared" si="3"/>
        <v>17146</v>
      </c>
      <c r="E14" s="386">
        <f t="shared" si="0"/>
        <v>23912</v>
      </c>
      <c r="F14" s="386">
        <f t="shared" si="4"/>
        <v>20412</v>
      </c>
      <c r="G14" s="387">
        <v>11885</v>
      </c>
      <c r="H14" s="384">
        <v>3500</v>
      </c>
      <c r="I14" s="406">
        <f t="shared" si="5"/>
        <v>5.3999999999999999E-2</v>
      </c>
      <c r="J14" s="384">
        <v>1000</v>
      </c>
      <c r="K14" s="384">
        <v>1</v>
      </c>
      <c r="L14" s="404">
        <v>1.1000000000000001</v>
      </c>
      <c r="M14" s="404">
        <v>0.65</v>
      </c>
      <c r="N14" s="407" t="s">
        <v>83</v>
      </c>
      <c r="O14" s="408" t="e">
        <f t="shared" si="6"/>
        <v>#REF!</v>
      </c>
      <c r="P14" s="409" t="e">
        <f>J14*L14*#REF!</f>
        <v>#REF!</v>
      </c>
      <c r="Q14" s="390">
        <f t="shared" si="1"/>
        <v>715</v>
      </c>
      <c r="R14" s="434">
        <v>0.5</v>
      </c>
      <c r="S14" s="433">
        <v>0.65</v>
      </c>
    </row>
    <row r="15" spans="1:33" s="4" customFormat="1">
      <c r="A15" s="384">
        <v>8</v>
      </c>
      <c r="B15" s="385" t="s">
        <v>94</v>
      </c>
      <c r="C15" s="386">
        <f>D15+H15-588</f>
        <v>55518</v>
      </c>
      <c r="D15" s="386">
        <f t="shared" si="3"/>
        <v>56106</v>
      </c>
      <c r="E15" s="386">
        <f>SUM(F15+H31)</f>
        <v>70293</v>
      </c>
      <c r="F15" s="386">
        <f t="shared" si="4"/>
        <v>66793</v>
      </c>
      <c r="G15" s="387">
        <v>21397</v>
      </c>
      <c r="H15" s="390">
        <v>0</v>
      </c>
      <c r="I15" s="406">
        <f t="shared" si="5"/>
        <v>0.1767</v>
      </c>
      <c r="J15" s="384">
        <v>3000</v>
      </c>
      <c r="K15" s="384">
        <v>1</v>
      </c>
      <c r="L15" s="404">
        <v>1.2</v>
      </c>
      <c r="M15" s="404">
        <v>0.65</v>
      </c>
      <c r="N15" s="410" t="s">
        <v>83</v>
      </c>
      <c r="O15" s="411" t="e">
        <f t="shared" si="6"/>
        <v>#REF!</v>
      </c>
      <c r="P15" s="412" t="e">
        <f>J15*L15*#REF!</f>
        <v>#REF!</v>
      </c>
      <c r="Q15" s="435">
        <f t="shared" si="1"/>
        <v>2340</v>
      </c>
      <c r="R15" s="436">
        <v>0.5</v>
      </c>
      <c r="S15" s="433">
        <v>0.65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4" customFormat="1">
      <c r="A16" s="384">
        <v>9</v>
      </c>
      <c r="B16" s="385" t="s">
        <v>95</v>
      </c>
      <c r="C16" s="386">
        <f t="shared" si="7"/>
        <v>13216</v>
      </c>
      <c r="D16" s="386">
        <f t="shared" si="3"/>
        <v>9716</v>
      </c>
      <c r="E16" s="386">
        <f t="shared" si="0"/>
        <v>15067</v>
      </c>
      <c r="F16" s="386">
        <f t="shared" si="4"/>
        <v>11567</v>
      </c>
      <c r="G16" s="388" t="s">
        <v>50</v>
      </c>
      <c r="H16" s="384">
        <v>3500</v>
      </c>
      <c r="I16" s="406">
        <f t="shared" si="5"/>
        <v>3.0599999999999999E-2</v>
      </c>
      <c r="J16" s="384">
        <v>600</v>
      </c>
      <c r="K16" s="384">
        <v>1</v>
      </c>
      <c r="L16" s="404">
        <v>1.04</v>
      </c>
      <c r="M16" s="404">
        <v>0.65</v>
      </c>
      <c r="N16" s="410" t="s">
        <v>82</v>
      </c>
      <c r="O16" s="411" t="e">
        <f>P16/7189</f>
        <v>#REF!</v>
      </c>
      <c r="P16" s="412" t="e">
        <f>J16*L16*#REF!</f>
        <v>#REF!</v>
      </c>
      <c r="Q16" s="435">
        <f t="shared" si="1"/>
        <v>405.6</v>
      </c>
      <c r="R16" s="436">
        <v>0.65</v>
      </c>
      <c r="S16" s="433">
        <v>0.65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" customFormat="1">
      <c r="A17" s="384">
        <v>10</v>
      </c>
      <c r="B17" s="385" t="s">
        <v>96</v>
      </c>
      <c r="C17" s="386">
        <f t="shared" si="7"/>
        <v>12701</v>
      </c>
      <c r="D17" s="386">
        <f t="shared" si="3"/>
        <v>12701</v>
      </c>
      <c r="E17" s="386">
        <f t="shared" si="0"/>
        <v>15120</v>
      </c>
      <c r="F17" s="386">
        <f t="shared" si="4"/>
        <v>15120</v>
      </c>
      <c r="G17" s="388" t="s">
        <v>50</v>
      </c>
      <c r="H17" s="384">
        <v>0</v>
      </c>
      <c r="I17" s="406">
        <f t="shared" si="5"/>
        <v>0.04</v>
      </c>
      <c r="J17" s="384">
        <v>800</v>
      </c>
      <c r="K17" s="384">
        <v>1</v>
      </c>
      <c r="L17" s="404">
        <v>1.02</v>
      </c>
      <c r="M17" s="404">
        <v>0.65</v>
      </c>
      <c r="N17" s="407" t="s">
        <v>82</v>
      </c>
      <c r="O17" s="408" t="e">
        <f>P17/7189</f>
        <v>#REF!</v>
      </c>
      <c r="P17" s="409" t="e">
        <f>J17*L17*#REF!</f>
        <v>#REF!</v>
      </c>
      <c r="Q17" s="390">
        <f t="shared" si="1"/>
        <v>530.4</v>
      </c>
      <c r="R17" s="434">
        <v>0.65</v>
      </c>
      <c r="S17" s="433">
        <v>0.65</v>
      </c>
    </row>
    <row r="18" spans="1:33" s="4" customFormat="1">
      <c r="A18" s="384">
        <v>11</v>
      </c>
      <c r="B18" s="385" t="s">
        <v>97</v>
      </c>
      <c r="C18" s="386">
        <f t="shared" si="7"/>
        <v>4929</v>
      </c>
      <c r="D18" s="386">
        <f t="shared" si="3"/>
        <v>1429</v>
      </c>
      <c r="E18" s="386">
        <f t="shared" si="0"/>
        <v>5201</v>
      </c>
      <c r="F18" s="386">
        <f t="shared" si="4"/>
        <v>1701</v>
      </c>
      <c r="G18" s="387">
        <v>25</v>
      </c>
      <c r="H18" s="384">
        <v>3500</v>
      </c>
      <c r="I18" s="406">
        <f t="shared" si="5"/>
        <v>4.4999999999999997E-3</v>
      </c>
      <c r="J18" s="384">
        <v>90</v>
      </c>
      <c r="K18" s="384">
        <v>1</v>
      </c>
      <c r="L18" s="404">
        <v>1.03</v>
      </c>
      <c r="M18" s="404">
        <v>0.65</v>
      </c>
      <c r="N18" s="410" t="s">
        <v>82</v>
      </c>
      <c r="O18" s="411" t="e">
        <f>P18/7189</f>
        <v>#REF!</v>
      </c>
      <c r="P18" s="412" t="e">
        <f>J18*L18*#REF!</f>
        <v>#REF!</v>
      </c>
      <c r="Q18" s="435">
        <f t="shared" si="1"/>
        <v>60.255000000000003</v>
      </c>
      <c r="R18" s="436">
        <v>0.65</v>
      </c>
      <c r="S18" s="433">
        <v>0.65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62" customFormat="1">
      <c r="A19" s="391"/>
      <c r="B19" s="392" t="s">
        <v>62</v>
      </c>
      <c r="C19" s="393">
        <f>SUM(C7:C18)</f>
        <v>239639</v>
      </c>
      <c r="D19" s="393"/>
      <c r="E19" s="393"/>
      <c r="F19" s="393"/>
      <c r="G19" s="394"/>
      <c r="H19" s="391"/>
      <c r="I19" s="413"/>
      <c r="J19" s="391"/>
      <c r="K19" s="391"/>
      <c r="L19" s="414"/>
      <c r="M19" s="414"/>
      <c r="N19" s="415"/>
      <c r="O19" s="416"/>
      <c r="P19" s="417"/>
      <c r="Q19" s="437"/>
      <c r="R19" s="438"/>
      <c r="S19" s="433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</row>
    <row r="20" spans="1:33" s="4" customFormat="1">
      <c r="A20" s="384">
        <v>12</v>
      </c>
      <c r="B20" s="385" t="s">
        <v>98</v>
      </c>
      <c r="C20" s="386">
        <f t="shared" ref="C20:C22" si="8">D20+H20</f>
        <v>10835</v>
      </c>
      <c r="D20" s="386">
        <f>F20*(1-0.16)</f>
        <v>7335</v>
      </c>
      <c r="E20" s="386">
        <f t="shared" si="0"/>
        <v>12232</v>
      </c>
      <c r="F20" s="386">
        <f t="shared" si="4"/>
        <v>8732</v>
      </c>
      <c r="G20" s="387">
        <v>5890</v>
      </c>
      <c r="H20" s="384">
        <v>3500</v>
      </c>
      <c r="I20" s="406">
        <f t="shared" si="5"/>
        <v>2.3099999999999999E-2</v>
      </c>
      <c r="J20" s="384">
        <v>600</v>
      </c>
      <c r="K20" s="384">
        <v>1</v>
      </c>
      <c r="L20" s="404">
        <v>1.02</v>
      </c>
      <c r="M20" s="404">
        <v>0.5</v>
      </c>
      <c r="N20" s="410" t="s">
        <v>83</v>
      </c>
      <c r="O20" s="411" t="e">
        <f>P20/7189</f>
        <v>#REF!</v>
      </c>
      <c r="P20" s="412" t="e">
        <f>J20*L20*#REF!</f>
        <v>#REF!</v>
      </c>
      <c r="Q20" s="435">
        <f t="shared" ref="Q20:Q27" si="9">J20*K20*L20*M20</f>
        <v>306</v>
      </c>
      <c r="R20" s="436">
        <v>0.65</v>
      </c>
      <c r="S20" s="433">
        <v>0.5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" customFormat="1">
      <c r="A21" s="384">
        <v>14</v>
      </c>
      <c r="B21" s="385" t="s">
        <v>99</v>
      </c>
      <c r="C21" s="386">
        <f t="shared" si="8"/>
        <v>25655</v>
      </c>
      <c r="D21" s="386">
        <f t="shared" ref="D21:D27" si="10">F21*(1-0.16)</f>
        <v>25655</v>
      </c>
      <c r="E21" s="386">
        <f t="shared" si="0"/>
        <v>30542</v>
      </c>
      <c r="F21" s="386">
        <f t="shared" si="4"/>
        <v>30542</v>
      </c>
      <c r="G21" s="387">
        <v>7167</v>
      </c>
      <c r="H21" s="384">
        <v>0</v>
      </c>
      <c r="I21" s="406">
        <f t="shared" si="5"/>
        <v>8.0799999999999997E-2</v>
      </c>
      <c r="J21" s="384">
        <v>2000</v>
      </c>
      <c r="K21" s="384">
        <v>1</v>
      </c>
      <c r="L21" s="404">
        <v>1.07</v>
      </c>
      <c r="M21" s="404">
        <v>0.5</v>
      </c>
      <c r="N21" s="407" t="s">
        <v>83</v>
      </c>
      <c r="O21" s="408" t="e">
        <f>P21/7189</f>
        <v>#REF!</v>
      </c>
      <c r="P21" s="409" t="e">
        <f>J21*L21*#REF!</f>
        <v>#REF!</v>
      </c>
      <c r="Q21" s="390">
        <f t="shared" si="9"/>
        <v>1070</v>
      </c>
      <c r="R21" s="434">
        <v>0.5</v>
      </c>
      <c r="S21" s="433">
        <v>0.5</v>
      </c>
    </row>
    <row r="22" spans="1:33" s="64" customFormat="1">
      <c r="A22" s="384">
        <v>15</v>
      </c>
      <c r="B22" s="385" t="s">
        <v>100</v>
      </c>
      <c r="C22" s="386">
        <f t="shared" si="8"/>
        <v>7176</v>
      </c>
      <c r="D22" s="386">
        <f t="shared" si="10"/>
        <v>7176</v>
      </c>
      <c r="E22" s="386">
        <f t="shared" si="0"/>
        <v>8543</v>
      </c>
      <c r="F22" s="386">
        <f t="shared" si="4"/>
        <v>8543</v>
      </c>
      <c r="G22" s="387">
        <v>985</v>
      </c>
      <c r="H22" s="384">
        <v>0</v>
      </c>
      <c r="I22" s="406">
        <f t="shared" si="5"/>
        <v>2.2599999999999999E-2</v>
      </c>
      <c r="J22" s="384">
        <v>600</v>
      </c>
      <c r="K22" s="384">
        <v>1</v>
      </c>
      <c r="L22" s="404">
        <v>1</v>
      </c>
      <c r="M22" s="404">
        <v>0.5</v>
      </c>
      <c r="N22" s="407" t="s">
        <v>84</v>
      </c>
      <c r="O22" s="418" t="e">
        <f t="shared" si="6"/>
        <v>#REF!</v>
      </c>
      <c r="P22" s="419" t="e">
        <f>J23*L23*#REF!</f>
        <v>#REF!</v>
      </c>
      <c r="Q22" s="390">
        <f t="shared" si="9"/>
        <v>300</v>
      </c>
      <c r="R22" s="434">
        <v>0.5</v>
      </c>
      <c r="S22" s="439">
        <v>0.5</v>
      </c>
    </row>
    <row r="23" spans="1:33" s="4" customFormat="1">
      <c r="A23" s="384">
        <v>16</v>
      </c>
      <c r="B23" s="385" t="s">
        <v>117</v>
      </c>
      <c r="C23" s="389">
        <v>9750</v>
      </c>
      <c r="D23" s="386">
        <f t="shared" si="10"/>
        <v>4953</v>
      </c>
      <c r="E23" s="386">
        <f t="shared" si="0"/>
        <v>9397</v>
      </c>
      <c r="F23" s="386">
        <f t="shared" si="4"/>
        <v>5897</v>
      </c>
      <c r="G23" s="387">
        <v>9750</v>
      </c>
      <c r="H23" s="384">
        <v>3500</v>
      </c>
      <c r="I23" s="406">
        <f t="shared" si="5"/>
        <v>1.5599999999999999E-2</v>
      </c>
      <c r="J23" s="384">
        <v>400</v>
      </c>
      <c r="K23" s="384">
        <v>1</v>
      </c>
      <c r="L23" s="384">
        <v>1.03</v>
      </c>
      <c r="M23" s="404">
        <v>0.5</v>
      </c>
      <c r="N23" s="410" t="s">
        <v>84</v>
      </c>
      <c r="O23" s="411" t="e">
        <f t="shared" si="6"/>
        <v>#REF!</v>
      </c>
      <c r="P23" s="412" t="e">
        <f>J24*L24*#REF!</f>
        <v>#REF!</v>
      </c>
      <c r="Q23" s="435">
        <f t="shared" si="9"/>
        <v>206</v>
      </c>
      <c r="R23" s="436">
        <v>0.5</v>
      </c>
      <c r="S23" s="433">
        <v>0.5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4" customFormat="1">
      <c r="A24" s="384">
        <v>17</v>
      </c>
      <c r="B24" s="385" t="s">
        <v>102</v>
      </c>
      <c r="C24" s="386">
        <f>D24+H24</f>
        <v>26139</v>
      </c>
      <c r="D24" s="386">
        <f t="shared" si="10"/>
        <v>22639</v>
      </c>
      <c r="E24" s="386">
        <f t="shared" si="0"/>
        <v>30451</v>
      </c>
      <c r="F24" s="386">
        <f t="shared" si="4"/>
        <v>26951</v>
      </c>
      <c r="G24" s="387">
        <v>50</v>
      </c>
      <c r="H24" s="384">
        <v>3500</v>
      </c>
      <c r="I24" s="406">
        <f t="shared" si="5"/>
        <v>7.1300000000000002E-2</v>
      </c>
      <c r="J24" s="384">
        <v>1800</v>
      </c>
      <c r="K24" s="384">
        <v>1</v>
      </c>
      <c r="L24" s="384">
        <v>1.05</v>
      </c>
      <c r="M24" s="404">
        <v>0.5</v>
      </c>
      <c r="N24" s="410" t="s">
        <v>84</v>
      </c>
      <c r="O24" s="411" t="e">
        <f t="shared" si="6"/>
        <v>#REF!</v>
      </c>
      <c r="P24" s="412" t="e">
        <f>J25*L25*#REF!</f>
        <v>#REF!</v>
      </c>
      <c r="Q24" s="435">
        <f t="shared" si="9"/>
        <v>945</v>
      </c>
      <c r="R24" s="436">
        <v>0.5</v>
      </c>
      <c r="S24" s="433">
        <v>0.5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" customFormat="1">
      <c r="A25" s="384">
        <v>18</v>
      </c>
      <c r="B25" s="385" t="s">
        <v>118</v>
      </c>
      <c r="C25" s="389">
        <v>13234</v>
      </c>
      <c r="D25" s="386">
        <f t="shared" si="10"/>
        <v>7557</v>
      </c>
      <c r="E25" s="386">
        <f t="shared" si="0"/>
        <v>8996</v>
      </c>
      <c r="F25" s="386">
        <f t="shared" si="4"/>
        <v>8996</v>
      </c>
      <c r="G25" s="387">
        <v>13234</v>
      </c>
      <c r="H25" s="384">
        <v>0</v>
      </c>
      <c r="I25" s="406">
        <f t="shared" si="5"/>
        <v>2.3800000000000002E-2</v>
      </c>
      <c r="J25" s="384">
        <v>600</v>
      </c>
      <c r="K25" s="384">
        <v>1</v>
      </c>
      <c r="L25" s="384">
        <v>1.05</v>
      </c>
      <c r="M25" s="404">
        <v>0.5</v>
      </c>
      <c r="N25" s="407" t="s">
        <v>84</v>
      </c>
      <c r="O25" s="408" t="e">
        <f t="shared" si="6"/>
        <v>#REF!</v>
      </c>
      <c r="P25" s="409" t="e">
        <f>J26*L26*#REF!</f>
        <v>#REF!</v>
      </c>
      <c r="Q25" s="390">
        <f t="shared" si="9"/>
        <v>315</v>
      </c>
      <c r="R25" s="434">
        <v>0.5</v>
      </c>
      <c r="S25" s="433">
        <v>0.5</v>
      </c>
    </row>
    <row r="26" spans="1:33" s="1" customFormat="1">
      <c r="A26" s="384">
        <v>19</v>
      </c>
      <c r="B26" s="385" t="s">
        <v>119</v>
      </c>
      <c r="C26" s="389">
        <v>27782</v>
      </c>
      <c r="D26" s="386">
        <f t="shared" si="10"/>
        <v>8732</v>
      </c>
      <c r="E26" s="386">
        <f t="shared" si="0"/>
        <v>10395</v>
      </c>
      <c r="F26" s="386">
        <f t="shared" si="4"/>
        <v>10395</v>
      </c>
      <c r="G26" s="387">
        <v>27782</v>
      </c>
      <c r="H26" s="384">
        <v>0</v>
      </c>
      <c r="I26" s="406">
        <f t="shared" si="5"/>
        <v>2.75E-2</v>
      </c>
      <c r="J26" s="384">
        <v>700</v>
      </c>
      <c r="K26" s="384">
        <v>1</v>
      </c>
      <c r="L26" s="384">
        <v>1.04</v>
      </c>
      <c r="M26" s="404">
        <v>0.5</v>
      </c>
      <c r="N26" s="420"/>
      <c r="O26" s="421"/>
      <c r="P26" s="409" t="e">
        <f>SUM(P7:P25)</f>
        <v>#REF!</v>
      </c>
      <c r="Q26" s="390">
        <f t="shared" si="9"/>
        <v>364</v>
      </c>
      <c r="R26" s="434">
        <v>0.5</v>
      </c>
      <c r="S26" s="433">
        <v>0.5</v>
      </c>
    </row>
    <row r="27" spans="1:33" s="4" customFormat="1" ht="25.5" customHeight="1">
      <c r="A27" s="384">
        <v>20</v>
      </c>
      <c r="B27" s="385" t="s">
        <v>120</v>
      </c>
      <c r="C27" s="389">
        <v>14700</v>
      </c>
      <c r="D27" s="386">
        <f t="shared" si="10"/>
        <v>11113</v>
      </c>
      <c r="E27" s="386">
        <f t="shared" si="0"/>
        <v>16730</v>
      </c>
      <c r="F27" s="386">
        <f t="shared" si="4"/>
        <v>13230</v>
      </c>
      <c r="G27" s="387">
        <v>14700</v>
      </c>
      <c r="H27" s="384">
        <v>3500</v>
      </c>
      <c r="I27" s="406">
        <f t="shared" si="5"/>
        <v>3.5000000000000003E-2</v>
      </c>
      <c r="J27" s="384">
        <v>900</v>
      </c>
      <c r="K27" s="384">
        <v>1</v>
      </c>
      <c r="L27" s="404">
        <v>1.03</v>
      </c>
      <c r="M27" s="404">
        <v>0.5</v>
      </c>
      <c r="N27" s="422"/>
      <c r="O27" s="423"/>
      <c r="P27" s="423"/>
      <c r="Q27" s="435">
        <f t="shared" si="9"/>
        <v>463.5</v>
      </c>
      <c r="R27" s="436">
        <v>0.5</v>
      </c>
      <c r="S27" s="433">
        <v>0.5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62" customFormat="1" ht="25.5" customHeight="1">
      <c r="A28" s="391"/>
      <c r="B28" s="395" t="s">
        <v>106</v>
      </c>
      <c r="C28" s="394">
        <f>SUM(C20:C27)</f>
        <v>135271</v>
      </c>
      <c r="D28" s="393"/>
      <c r="E28" s="393"/>
      <c r="F28" s="393"/>
      <c r="G28" s="394"/>
      <c r="H28" s="391"/>
      <c r="I28" s="413"/>
      <c r="J28" s="391"/>
      <c r="K28" s="391"/>
      <c r="L28" s="414"/>
      <c r="M28" s="414"/>
      <c r="N28" s="424"/>
      <c r="O28" s="425"/>
      <c r="P28" s="425"/>
      <c r="Q28" s="437"/>
      <c r="R28" s="438"/>
      <c r="S28" s="433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</row>
    <row r="29" spans="1:33" s="1" customFormat="1" ht="25.2" customHeight="1">
      <c r="A29" s="384">
        <v>21</v>
      </c>
      <c r="B29" s="385" t="s">
        <v>107</v>
      </c>
      <c r="C29" s="389">
        <v>2241</v>
      </c>
      <c r="D29" s="386">
        <f>F29*(1-0.16)</f>
        <v>2159</v>
      </c>
      <c r="E29" s="386">
        <f t="shared" ref="E29:E37" si="11">SUM(F29+H29)</f>
        <v>2570</v>
      </c>
      <c r="F29" s="386">
        <f t="shared" si="4"/>
        <v>2570</v>
      </c>
      <c r="G29" s="387">
        <v>2241</v>
      </c>
      <c r="H29" s="384">
        <v>0</v>
      </c>
      <c r="I29" s="406">
        <f t="shared" si="5"/>
        <v>6.7999999999999996E-3</v>
      </c>
      <c r="J29" s="384">
        <v>360</v>
      </c>
      <c r="K29" s="384">
        <v>1</v>
      </c>
      <c r="L29" s="404">
        <v>1</v>
      </c>
      <c r="M29" s="404">
        <v>0.25</v>
      </c>
      <c r="N29" s="407" t="s">
        <v>85</v>
      </c>
      <c r="O29" s="408" t="e">
        <f t="shared" ref="O29:O37" si="12">P29/7189</f>
        <v>#REF!</v>
      </c>
      <c r="P29" s="409" t="e">
        <f>J31*L31*#REF!</f>
        <v>#REF!</v>
      </c>
      <c r="Q29" s="390">
        <f t="shared" ref="Q29:Q37" si="13">J29*K29*L29*M29</f>
        <v>90</v>
      </c>
      <c r="R29" s="434">
        <v>0.5</v>
      </c>
      <c r="S29" s="433">
        <v>0.25</v>
      </c>
    </row>
    <row r="30" spans="1:33" s="4" customFormat="1">
      <c r="A30" s="384">
        <v>22</v>
      </c>
      <c r="B30" s="385" t="s">
        <v>108</v>
      </c>
      <c r="C30" s="386">
        <f>D30+H30</f>
        <v>6611</v>
      </c>
      <c r="D30" s="386">
        <f t="shared" ref="D30:D37" si="14">F30*(1-0.16)</f>
        <v>3111</v>
      </c>
      <c r="E30" s="386">
        <f t="shared" si="11"/>
        <v>7204</v>
      </c>
      <c r="F30" s="386">
        <f t="shared" si="4"/>
        <v>3704</v>
      </c>
      <c r="G30" s="388" t="s">
        <v>50</v>
      </c>
      <c r="H30" s="384">
        <v>3500</v>
      </c>
      <c r="I30" s="406">
        <f t="shared" si="5"/>
        <v>9.7999999999999997E-3</v>
      </c>
      <c r="J30" s="384">
        <v>500</v>
      </c>
      <c r="K30" s="384">
        <v>1</v>
      </c>
      <c r="L30" s="404">
        <v>1.04</v>
      </c>
      <c r="M30" s="404">
        <v>0.25</v>
      </c>
      <c r="N30" s="410" t="s">
        <v>85</v>
      </c>
      <c r="O30" s="411" t="e">
        <f t="shared" si="12"/>
        <v>#REF!</v>
      </c>
      <c r="P30" s="412" t="e">
        <f>J32*L32*#REF!</f>
        <v>#REF!</v>
      </c>
      <c r="Q30" s="435">
        <f t="shared" si="13"/>
        <v>130</v>
      </c>
      <c r="R30" s="436">
        <v>0.25</v>
      </c>
      <c r="S30" s="433">
        <v>0.25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" customFormat="1">
      <c r="A31" s="384">
        <v>23</v>
      </c>
      <c r="B31" s="385" t="s">
        <v>109</v>
      </c>
      <c r="C31" s="386">
        <f t="shared" ref="C31:C32" si="15">D31+H31</f>
        <v>4706</v>
      </c>
      <c r="D31" s="386">
        <f t="shared" si="14"/>
        <v>1206</v>
      </c>
      <c r="E31" s="386" t="e">
        <f>SUM(F31+#REF!)</f>
        <v>#REF!</v>
      </c>
      <c r="F31" s="386">
        <f t="shared" si="4"/>
        <v>1436</v>
      </c>
      <c r="G31" s="388" t="s">
        <v>50</v>
      </c>
      <c r="H31" s="384">
        <v>3500</v>
      </c>
      <c r="I31" s="406">
        <f t="shared" si="5"/>
        <v>3.8E-3</v>
      </c>
      <c r="J31" s="384">
        <v>200</v>
      </c>
      <c r="K31" s="384">
        <v>1</v>
      </c>
      <c r="L31" s="404">
        <v>1.01</v>
      </c>
      <c r="M31" s="404">
        <v>0.25</v>
      </c>
      <c r="N31" s="407" t="s">
        <v>84</v>
      </c>
      <c r="O31" s="408" t="e">
        <f t="shared" si="12"/>
        <v>#REF!</v>
      </c>
      <c r="P31" s="409" t="e">
        <f>J22*L22*#REF!</f>
        <v>#REF!</v>
      </c>
      <c r="Q31" s="390">
        <f t="shared" si="13"/>
        <v>50.5</v>
      </c>
      <c r="R31" s="434">
        <v>0.25</v>
      </c>
      <c r="S31" s="433">
        <v>0.25</v>
      </c>
    </row>
    <row r="32" spans="1:33" s="1" customFormat="1">
      <c r="A32" s="384">
        <v>24</v>
      </c>
      <c r="B32" s="385" t="s">
        <v>110</v>
      </c>
      <c r="C32" s="386">
        <f t="shared" si="15"/>
        <v>1810</v>
      </c>
      <c r="D32" s="386">
        <f t="shared" si="14"/>
        <v>1810</v>
      </c>
      <c r="E32" s="386">
        <f t="shared" si="11"/>
        <v>2155</v>
      </c>
      <c r="F32" s="386">
        <f t="shared" si="4"/>
        <v>2155</v>
      </c>
      <c r="G32" s="387">
        <v>1244</v>
      </c>
      <c r="H32" s="384">
        <v>0</v>
      </c>
      <c r="I32" s="406">
        <f t="shared" si="5"/>
        <v>5.7000000000000002E-3</v>
      </c>
      <c r="J32" s="384">
        <v>300</v>
      </c>
      <c r="K32" s="384">
        <v>1</v>
      </c>
      <c r="L32" s="404">
        <v>1</v>
      </c>
      <c r="M32" s="404">
        <v>0.25</v>
      </c>
      <c r="N32" s="407" t="s">
        <v>84</v>
      </c>
      <c r="O32" s="408" t="e">
        <f t="shared" si="12"/>
        <v>#REF!</v>
      </c>
      <c r="P32" s="409" t="e">
        <f>J33*L33*#REF!</f>
        <v>#REF!</v>
      </c>
      <c r="Q32" s="390">
        <f t="shared" si="13"/>
        <v>75</v>
      </c>
      <c r="R32" s="434">
        <v>0.25</v>
      </c>
      <c r="S32" s="433">
        <v>0.25</v>
      </c>
    </row>
    <row r="33" spans="1:19" s="1" customFormat="1">
      <c r="A33" s="384">
        <v>25</v>
      </c>
      <c r="B33" s="385" t="s">
        <v>111</v>
      </c>
      <c r="C33" s="389">
        <v>6898</v>
      </c>
      <c r="D33" s="386">
        <f t="shared" si="14"/>
        <v>3969</v>
      </c>
      <c r="E33" s="386">
        <f t="shared" si="11"/>
        <v>4725</v>
      </c>
      <c r="F33" s="386">
        <f t="shared" si="4"/>
        <v>4725</v>
      </c>
      <c r="G33" s="387">
        <v>6898</v>
      </c>
      <c r="H33" s="384">
        <v>0</v>
      </c>
      <c r="I33" s="406">
        <f t="shared" si="5"/>
        <v>1.2500000000000001E-2</v>
      </c>
      <c r="J33" s="384">
        <v>1125</v>
      </c>
      <c r="K33" s="384">
        <v>0.58799999999999997</v>
      </c>
      <c r="L33" s="404">
        <v>1</v>
      </c>
      <c r="M33" s="404">
        <v>0.25</v>
      </c>
      <c r="N33" s="407" t="s">
        <v>84</v>
      </c>
      <c r="O33" s="408" t="e">
        <f t="shared" si="12"/>
        <v>#REF!</v>
      </c>
      <c r="P33" s="409" t="e">
        <f>J27*L27*#REF!</f>
        <v>#REF!</v>
      </c>
      <c r="Q33" s="390">
        <f t="shared" si="13"/>
        <v>165.375</v>
      </c>
      <c r="R33" s="434">
        <v>0.5</v>
      </c>
      <c r="S33" s="433">
        <v>0.25</v>
      </c>
    </row>
    <row r="34" spans="1:19" s="64" customFormat="1">
      <c r="A34" s="384">
        <v>26</v>
      </c>
      <c r="B34" s="385" t="s">
        <v>112</v>
      </c>
      <c r="C34" s="389">
        <v>4930</v>
      </c>
      <c r="D34" s="386">
        <f t="shared" si="14"/>
        <v>3016</v>
      </c>
      <c r="E34" s="386">
        <f t="shared" si="11"/>
        <v>3591</v>
      </c>
      <c r="F34" s="386">
        <f t="shared" si="4"/>
        <v>3591</v>
      </c>
      <c r="G34" s="387">
        <v>4930</v>
      </c>
      <c r="H34" s="384">
        <v>0</v>
      </c>
      <c r="I34" s="406">
        <f t="shared" si="5"/>
        <v>9.4999999999999998E-3</v>
      </c>
      <c r="J34" s="384">
        <v>500</v>
      </c>
      <c r="K34" s="384">
        <v>1</v>
      </c>
      <c r="L34" s="404">
        <v>1.01</v>
      </c>
      <c r="M34" s="404">
        <v>0.25</v>
      </c>
      <c r="N34" s="407" t="s">
        <v>84</v>
      </c>
      <c r="O34" s="418" t="e">
        <f t="shared" si="12"/>
        <v>#REF!</v>
      </c>
      <c r="P34" s="419" t="e">
        <f>J34*L34*#REF!</f>
        <v>#REF!</v>
      </c>
      <c r="Q34" s="390">
        <f t="shared" si="13"/>
        <v>126.25</v>
      </c>
      <c r="R34" s="434">
        <v>0.5</v>
      </c>
      <c r="S34" s="439">
        <v>0.25</v>
      </c>
    </row>
    <row r="35" spans="1:19" s="1" customFormat="1">
      <c r="A35" s="384">
        <v>27</v>
      </c>
      <c r="B35" s="385" t="s">
        <v>113</v>
      </c>
      <c r="C35" s="396">
        <v>10000</v>
      </c>
      <c r="D35" s="386">
        <f t="shared" si="14"/>
        <v>3016</v>
      </c>
      <c r="E35" s="386">
        <f t="shared" si="11"/>
        <v>3591</v>
      </c>
      <c r="F35" s="386">
        <f t="shared" si="4"/>
        <v>3591</v>
      </c>
      <c r="G35" s="397">
        <v>10000</v>
      </c>
      <c r="H35" s="384">
        <v>0</v>
      </c>
      <c r="I35" s="406">
        <f t="shared" si="5"/>
        <v>9.4999999999999998E-3</v>
      </c>
      <c r="J35" s="384">
        <v>500</v>
      </c>
      <c r="K35" s="384">
        <v>1</v>
      </c>
      <c r="L35" s="404">
        <v>1.01</v>
      </c>
      <c r="M35" s="404">
        <v>0.25</v>
      </c>
      <c r="N35" s="407" t="s">
        <v>84</v>
      </c>
      <c r="O35" s="408" t="e">
        <f t="shared" si="12"/>
        <v>#REF!</v>
      </c>
      <c r="P35" s="409" t="e">
        <f>J35*L35*#REF!</f>
        <v>#REF!</v>
      </c>
      <c r="Q35" s="390">
        <f t="shared" si="13"/>
        <v>126.25</v>
      </c>
      <c r="R35" s="434">
        <v>0.5</v>
      </c>
      <c r="S35" s="433">
        <v>0.25</v>
      </c>
    </row>
    <row r="36" spans="1:19" s="1" customFormat="1">
      <c r="A36" s="384">
        <v>28</v>
      </c>
      <c r="B36" s="385" t="s">
        <v>114</v>
      </c>
      <c r="C36" s="389">
        <v>7068</v>
      </c>
      <c r="D36" s="386">
        <f t="shared" si="14"/>
        <v>4223</v>
      </c>
      <c r="E36" s="386">
        <f t="shared" si="11"/>
        <v>5027</v>
      </c>
      <c r="F36" s="386">
        <f t="shared" si="4"/>
        <v>5027</v>
      </c>
      <c r="G36" s="387">
        <v>7068</v>
      </c>
      <c r="H36" s="384">
        <v>0</v>
      </c>
      <c r="I36" s="406">
        <f t="shared" si="5"/>
        <v>1.3299999999999999E-2</v>
      </c>
      <c r="J36" s="384">
        <v>900</v>
      </c>
      <c r="K36" s="384">
        <v>0.77</v>
      </c>
      <c r="L36" s="404">
        <v>1.02</v>
      </c>
      <c r="M36" s="404">
        <v>0.25</v>
      </c>
      <c r="N36" s="407" t="s">
        <v>84</v>
      </c>
      <c r="O36" s="408" t="e">
        <f t="shared" si="12"/>
        <v>#REF!</v>
      </c>
      <c r="P36" s="409" t="e">
        <f>J36*L36*#REF!</f>
        <v>#REF!</v>
      </c>
      <c r="Q36" s="390">
        <f t="shared" si="13"/>
        <v>176.715</v>
      </c>
      <c r="R36" s="434">
        <v>0.5</v>
      </c>
      <c r="S36" s="433">
        <v>0.25</v>
      </c>
    </row>
    <row r="37" spans="1:19" s="1" customFormat="1">
      <c r="A37" s="384">
        <v>29</v>
      </c>
      <c r="B37" s="398" t="s">
        <v>79</v>
      </c>
      <c r="C37" s="386">
        <f>D37+H37</f>
        <v>826</v>
      </c>
      <c r="D37" s="386">
        <f t="shared" si="14"/>
        <v>826</v>
      </c>
      <c r="E37" s="386">
        <f t="shared" si="11"/>
        <v>983</v>
      </c>
      <c r="F37" s="386">
        <f t="shared" si="4"/>
        <v>983</v>
      </c>
      <c r="G37" s="388" t="s">
        <v>50</v>
      </c>
      <c r="H37" s="384">
        <v>0</v>
      </c>
      <c r="I37" s="406">
        <f t="shared" si="5"/>
        <v>2.5999999999999999E-3</v>
      </c>
      <c r="J37" s="384">
        <v>140</v>
      </c>
      <c r="K37" s="384">
        <v>1</v>
      </c>
      <c r="L37" s="404">
        <v>1</v>
      </c>
      <c r="M37" s="404">
        <v>0.25</v>
      </c>
      <c r="N37" s="407" t="s">
        <v>84</v>
      </c>
      <c r="O37" s="408" t="e">
        <f t="shared" si="12"/>
        <v>#REF!</v>
      </c>
      <c r="P37" s="409" t="e">
        <f>J37*L37*#REF!</f>
        <v>#REF!</v>
      </c>
      <c r="Q37" s="390">
        <f t="shared" si="13"/>
        <v>35</v>
      </c>
      <c r="R37" s="434">
        <v>0.5</v>
      </c>
      <c r="S37" s="433">
        <v>0.25</v>
      </c>
    </row>
    <row r="38" spans="1:19" s="163" customFormat="1" ht="31.2">
      <c r="A38" s="399"/>
      <c r="B38" s="395" t="s">
        <v>115</v>
      </c>
      <c r="C38" s="393">
        <f>SUM(C29:C37)</f>
        <v>45090</v>
      </c>
      <c r="D38" s="393"/>
      <c r="E38" s="391"/>
      <c r="F38" s="393"/>
      <c r="G38" s="400"/>
      <c r="H38" s="391"/>
      <c r="I38" s="414"/>
      <c r="J38" s="391"/>
      <c r="K38" s="391"/>
      <c r="L38" s="391"/>
      <c r="M38" s="391"/>
      <c r="N38" s="426"/>
      <c r="O38" s="427"/>
      <c r="P38" s="428"/>
      <c r="Q38" s="440"/>
      <c r="R38" s="426"/>
      <c r="S38" s="439"/>
    </row>
    <row r="39" spans="1:19" s="64" customFormat="1">
      <c r="A39" s="204"/>
      <c r="B39" s="205"/>
      <c r="C39" s="207"/>
      <c r="D39" s="206"/>
      <c r="E39" s="207"/>
      <c r="F39" s="206"/>
      <c r="G39" s="240"/>
      <c r="H39" s="207"/>
      <c r="I39" s="372"/>
      <c r="J39" s="207"/>
      <c r="K39" s="207"/>
      <c r="L39" s="207"/>
      <c r="M39" s="207"/>
      <c r="N39" s="232"/>
      <c r="O39" s="349"/>
      <c r="P39" s="341"/>
      <c r="Q39" s="233"/>
      <c r="R39" s="232"/>
      <c r="S39" s="233"/>
    </row>
    <row r="41" spans="1:19">
      <c r="C41" s="167"/>
      <c r="R41" s="234"/>
    </row>
    <row r="42" spans="1:19">
      <c r="G42" s="401"/>
    </row>
  </sheetData>
  <mergeCells count="1">
    <mergeCell ref="A3:N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2"/>
  <sheetViews>
    <sheetView topLeftCell="A4" workbookViewId="0">
      <selection activeCell="J18" sqref="J18"/>
    </sheetView>
  </sheetViews>
  <sheetFormatPr defaultColWidth="9" defaultRowHeight="17.399999999999999"/>
  <cols>
    <col min="1" max="1" width="2.21875" style="1" customWidth="1"/>
    <col min="2" max="2" width="6.6640625" style="164" customWidth="1"/>
    <col min="3" max="3" width="14.88671875" style="165" customWidth="1"/>
    <col min="4" max="4" width="11.109375" style="166" customWidth="1"/>
    <col min="5" max="5" width="15.109375" style="167" hidden="1" customWidth="1"/>
    <col min="6" max="6" width="12.44140625" style="166" hidden="1" customWidth="1"/>
    <col min="7" max="7" width="11.77734375" style="168" hidden="1" customWidth="1"/>
    <col min="8" max="8" width="10.77734375" style="169" customWidth="1"/>
    <col min="9" max="9" width="8.6640625" style="166" customWidth="1"/>
    <col min="10" max="10" width="9.77734375" style="350" customWidth="1"/>
    <col min="11" max="11" width="10.44140625" style="164" customWidth="1"/>
    <col min="12" max="12" width="8.21875" style="164" customWidth="1"/>
    <col min="13" max="14" width="8.44140625" style="164" customWidth="1"/>
    <col min="15" max="15" width="5.6640625" hidden="1" customWidth="1"/>
    <col min="16" max="16" width="10.21875" style="6" hidden="1" customWidth="1"/>
    <col min="17" max="17" width="9.21875" style="6" hidden="1" customWidth="1"/>
    <col min="18" max="18" width="12.21875" style="5" hidden="1" customWidth="1"/>
    <col min="19" max="19" width="9" hidden="1" customWidth="1"/>
    <col min="20" max="34" width="9" style="1"/>
  </cols>
  <sheetData>
    <row r="1" spans="1:34">
      <c r="A1" s="539" t="s">
        <v>34</v>
      </c>
      <c r="B1" s="540"/>
      <c r="C1" s="172"/>
      <c r="D1" s="173"/>
      <c r="E1" s="174"/>
      <c r="F1" s="173"/>
      <c r="G1" s="174"/>
      <c r="H1" s="175"/>
      <c r="I1" s="173"/>
      <c r="J1" s="260"/>
      <c r="K1" s="173"/>
      <c r="L1" s="173"/>
      <c r="M1" s="173"/>
      <c r="N1" s="173"/>
      <c r="O1" s="210"/>
    </row>
    <row r="2" spans="1:34">
      <c r="A2" s="351"/>
      <c r="B2" s="176"/>
      <c r="C2" s="172"/>
      <c r="D2" s="173"/>
      <c r="E2" s="174"/>
      <c r="F2" s="173"/>
      <c r="G2" s="174"/>
      <c r="H2" s="175"/>
      <c r="I2" s="173"/>
      <c r="J2" s="260"/>
      <c r="K2" s="173"/>
      <c r="L2" s="173"/>
      <c r="M2" s="173"/>
      <c r="N2" s="173"/>
      <c r="O2" s="210"/>
    </row>
    <row r="3" spans="1:34" ht="20.399999999999999">
      <c r="A3" s="236"/>
      <c r="B3" s="537" t="s">
        <v>35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8"/>
    </row>
    <row r="4" spans="1:34">
      <c r="A4" s="236"/>
      <c r="B4" s="242"/>
      <c r="C4" s="352"/>
      <c r="D4" s="242"/>
      <c r="E4" s="281"/>
      <c r="F4" s="242"/>
      <c r="G4" s="281"/>
      <c r="H4" s="303"/>
      <c r="I4" s="242"/>
      <c r="J4" s="242"/>
      <c r="K4" s="242"/>
      <c r="L4" s="242"/>
      <c r="M4" s="242"/>
      <c r="N4" s="242"/>
      <c r="O4" s="261"/>
    </row>
    <row r="5" spans="1:34" s="141" customFormat="1" ht="51" customHeight="1">
      <c r="A5" s="353"/>
      <c r="B5" s="282" t="s">
        <v>1</v>
      </c>
      <c r="C5" s="282" t="s">
        <v>2</v>
      </c>
      <c r="D5" s="282" t="s">
        <v>36</v>
      </c>
      <c r="E5" s="283" t="s">
        <v>37</v>
      </c>
      <c r="F5" s="282" t="s">
        <v>38</v>
      </c>
      <c r="G5" s="283" t="s">
        <v>39</v>
      </c>
      <c r="H5" s="305" t="s">
        <v>5</v>
      </c>
      <c r="I5" s="282" t="s">
        <v>41</v>
      </c>
      <c r="J5" s="307" t="s">
        <v>42</v>
      </c>
      <c r="K5" s="282" t="s">
        <v>43</v>
      </c>
      <c r="L5" s="282" t="s">
        <v>44</v>
      </c>
      <c r="M5" s="282" t="s">
        <v>45</v>
      </c>
      <c r="N5" s="282" t="s">
        <v>4</v>
      </c>
      <c r="O5" s="330" t="s">
        <v>81</v>
      </c>
      <c r="R5" s="282" t="s">
        <v>46</v>
      </c>
      <c r="S5" s="331" t="s">
        <v>47</v>
      </c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>
      <c r="A6" s="236"/>
      <c r="B6" s="184"/>
      <c r="C6" s="185" t="s">
        <v>86</v>
      </c>
      <c r="D6" s="187">
        <f>D18+D28+D38</f>
        <v>420000</v>
      </c>
      <c r="E6" s="187">
        <f>SUM(E7:E38)</f>
        <v>319307</v>
      </c>
      <c r="F6" s="187">
        <f t="shared" ref="F6:F27" si="0">SUM(G6+I6)</f>
        <v>419923</v>
      </c>
      <c r="G6" s="187">
        <f>SUM(G7:G37)</f>
        <v>377923</v>
      </c>
      <c r="H6" s="188"/>
      <c r="I6" s="184">
        <f>SUM(I7:I38)</f>
        <v>42000</v>
      </c>
      <c r="J6" s="218">
        <f>SUM(J7:J38)</f>
        <v>1</v>
      </c>
      <c r="K6" s="184">
        <f>SUM(K7:K37)</f>
        <v>24330</v>
      </c>
      <c r="L6" s="184"/>
      <c r="M6" s="184"/>
      <c r="N6" s="184"/>
      <c r="O6" s="184"/>
      <c r="P6" s="8"/>
      <c r="Q6" s="8"/>
      <c r="R6" s="332">
        <f>SUM(R7:R38)</f>
        <v>13246.52</v>
      </c>
      <c r="S6" s="216"/>
    </row>
    <row r="7" spans="1:34" s="1" customFormat="1">
      <c r="A7" s="236"/>
      <c r="B7" s="184">
        <v>1</v>
      </c>
      <c r="C7" s="185" t="s">
        <v>87</v>
      </c>
      <c r="D7" s="187">
        <f>E7+I7</f>
        <v>2203</v>
      </c>
      <c r="E7" s="187">
        <f>G7*(1-0.1551)</f>
        <v>2203</v>
      </c>
      <c r="F7" s="187">
        <f t="shared" si="0"/>
        <v>2608</v>
      </c>
      <c r="G7" s="187">
        <f>(42-4.2)*10000*J7</f>
        <v>2608</v>
      </c>
      <c r="H7" s="255" t="s">
        <v>50</v>
      </c>
      <c r="I7" s="184"/>
      <c r="J7" s="269">
        <f>R7/13246.52</f>
        <v>6.8999999999999999E-3</v>
      </c>
      <c r="K7" s="184">
        <v>140</v>
      </c>
      <c r="L7" s="184">
        <v>1</v>
      </c>
      <c r="M7" s="218">
        <v>1</v>
      </c>
      <c r="N7" s="218">
        <v>0.65</v>
      </c>
      <c r="O7" s="83" t="s">
        <v>82</v>
      </c>
      <c r="P7" s="333" t="e">
        <f>Q7/6679</f>
        <v>#REF!</v>
      </c>
      <c r="Q7" s="334" t="e">
        <f>K7*M7*#REF!</f>
        <v>#REF!</v>
      </c>
      <c r="R7" s="192">
        <f>K7*L7*M7*N7</f>
        <v>91</v>
      </c>
      <c r="S7" s="214">
        <v>0.65</v>
      </c>
    </row>
    <row r="8" spans="1:34" s="1" customFormat="1">
      <c r="A8" s="236"/>
      <c r="B8" s="250">
        <v>2</v>
      </c>
      <c r="C8" s="354" t="s">
        <v>88</v>
      </c>
      <c r="D8" s="187">
        <f>E8+I8</f>
        <v>1948</v>
      </c>
      <c r="E8" s="187">
        <f t="shared" ref="E8:E38" si="1">G8*(1-0.1551)</f>
        <v>1948</v>
      </c>
      <c r="F8" s="187">
        <f t="shared" si="0"/>
        <v>2306</v>
      </c>
      <c r="G8" s="355">
        <f t="shared" ref="G8:G37" si="2">(42-4.2)*10000*J8</f>
        <v>2306</v>
      </c>
      <c r="H8" s="253" t="s">
        <v>50</v>
      </c>
      <c r="I8" s="250"/>
      <c r="J8" s="269">
        <f t="shared" ref="J8:J37" si="3">R8/13246.52</f>
        <v>6.1000000000000004E-3</v>
      </c>
      <c r="K8" s="250">
        <v>125</v>
      </c>
      <c r="L8" s="250">
        <v>1</v>
      </c>
      <c r="M8" s="267">
        <v>1</v>
      </c>
      <c r="N8" s="218">
        <v>0.65</v>
      </c>
      <c r="O8" s="335" t="s">
        <v>82</v>
      </c>
      <c r="P8" s="273" t="e">
        <f t="shared" ref="P8:P25" si="4">Q8/6679</f>
        <v>#REF!</v>
      </c>
      <c r="Q8" s="274" t="e">
        <f>K8*M8*#REF!</f>
        <v>#REF!</v>
      </c>
      <c r="R8" s="336">
        <f t="shared" ref="R8:R17" si="5">K8*L8*M8*N8</f>
        <v>81.25</v>
      </c>
      <c r="S8" s="313">
        <v>0.65</v>
      </c>
    </row>
    <row r="9" spans="1:34" s="4" customFormat="1">
      <c r="A9" s="236"/>
      <c r="B9" s="250">
        <v>3</v>
      </c>
      <c r="C9" s="185" t="s">
        <v>89</v>
      </c>
      <c r="D9" s="187">
        <f>E9+I9</f>
        <v>37095</v>
      </c>
      <c r="E9" s="187">
        <f t="shared" si="1"/>
        <v>32895</v>
      </c>
      <c r="F9" s="187">
        <f t="shared" si="0"/>
        <v>43134</v>
      </c>
      <c r="G9" s="355">
        <f t="shared" si="2"/>
        <v>38934</v>
      </c>
      <c r="H9" s="188">
        <v>12199</v>
      </c>
      <c r="I9" s="184">
        <v>4200</v>
      </c>
      <c r="J9" s="269">
        <f t="shared" si="3"/>
        <v>0.10299999999999999</v>
      </c>
      <c r="K9" s="184">
        <v>2000</v>
      </c>
      <c r="L9" s="184">
        <v>1</v>
      </c>
      <c r="M9" s="184">
        <v>1.05</v>
      </c>
      <c r="N9" s="218">
        <v>0.65</v>
      </c>
      <c r="O9" s="337" t="s">
        <v>82</v>
      </c>
      <c r="P9" s="160" t="e">
        <f t="shared" si="4"/>
        <v>#REF!</v>
      </c>
      <c r="Q9" s="161" t="e">
        <f>K9*M9*#REF!</f>
        <v>#REF!</v>
      </c>
      <c r="R9" s="338">
        <f t="shared" si="5"/>
        <v>1365</v>
      </c>
      <c r="S9" s="219">
        <v>0.65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" customFormat="1">
      <c r="A10" s="236"/>
      <c r="B10" s="250">
        <v>4</v>
      </c>
      <c r="C10" s="185" t="s">
        <v>90</v>
      </c>
      <c r="D10" s="187">
        <f>E10+I10</f>
        <v>1565</v>
      </c>
      <c r="E10" s="187">
        <f t="shared" si="1"/>
        <v>1565</v>
      </c>
      <c r="F10" s="187">
        <f t="shared" si="0"/>
        <v>1852</v>
      </c>
      <c r="G10" s="355">
        <f t="shared" si="2"/>
        <v>1852</v>
      </c>
      <c r="H10" s="255" t="s">
        <v>50</v>
      </c>
      <c r="I10" s="184"/>
      <c r="J10" s="269">
        <f t="shared" si="3"/>
        <v>4.8999999999999998E-3</v>
      </c>
      <c r="K10" s="184">
        <v>100</v>
      </c>
      <c r="L10" s="184">
        <v>1</v>
      </c>
      <c r="M10" s="218">
        <v>1</v>
      </c>
      <c r="N10" s="218">
        <v>0.65</v>
      </c>
      <c r="O10" s="272" t="s">
        <v>82</v>
      </c>
      <c r="P10" s="273" t="e">
        <f t="shared" si="4"/>
        <v>#REF!</v>
      </c>
      <c r="Q10" s="274" t="e">
        <f>K10*M10*#REF!</f>
        <v>#REF!</v>
      </c>
      <c r="R10" s="336">
        <f t="shared" si="5"/>
        <v>65</v>
      </c>
      <c r="S10" s="214">
        <v>0.65</v>
      </c>
    </row>
    <row r="11" spans="1:34" s="1" customFormat="1">
      <c r="A11" s="236"/>
      <c r="B11" s="250">
        <v>5</v>
      </c>
      <c r="C11" s="185" t="s">
        <v>91</v>
      </c>
      <c r="D11" s="187">
        <f>E11+I11</f>
        <v>15330</v>
      </c>
      <c r="E11" s="187">
        <f t="shared" si="1"/>
        <v>15330</v>
      </c>
      <c r="F11" s="187">
        <f t="shared" si="0"/>
        <v>18144</v>
      </c>
      <c r="G11" s="355">
        <f t="shared" si="2"/>
        <v>18144</v>
      </c>
      <c r="H11" s="188">
        <v>7481</v>
      </c>
      <c r="I11" s="184"/>
      <c r="J11" s="269">
        <f t="shared" si="3"/>
        <v>4.8000000000000001E-2</v>
      </c>
      <c r="K11" s="184">
        <v>950</v>
      </c>
      <c r="L11" s="184">
        <v>1</v>
      </c>
      <c r="M11" s="184">
        <v>1.03</v>
      </c>
      <c r="N11" s="218">
        <v>0.65</v>
      </c>
      <c r="O11" s="272" t="s">
        <v>83</v>
      </c>
      <c r="P11" s="273" t="e">
        <f t="shared" si="4"/>
        <v>#REF!</v>
      </c>
      <c r="Q11" s="274" t="e">
        <f>K11*M11*#REF!</f>
        <v>#REF!</v>
      </c>
      <c r="R11" s="336">
        <f t="shared" si="5"/>
        <v>636.02499999999998</v>
      </c>
      <c r="S11" s="214">
        <v>0.5</v>
      </c>
    </row>
    <row r="12" spans="1:34" s="4" customFormat="1">
      <c r="A12" s="236"/>
      <c r="B12" s="250">
        <v>6</v>
      </c>
      <c r="C12" s="185" t="s">
        <v>116</v>
      </c>
      <c r="D12" s="188">
        <v>36490</v>
      </c>
      <c r="E12" s="187">
        <f t="shared" si="1"/>
        <v>12775</v>
      </c>
      <c r="F12" s="187">
        <f t="shared" si="0"/>
        <v>19320</v>
      </c>
      <c r="G12" s="355">
        <f t="shared" si="2"/>
        <v>15120</v>
      </c>
      <c r="H12" s="188">
        <v>36490</v>
      </c>
      <c r="I12" s="184">
        <v>4200</v>
      </c>
      <c r="J12" s="269">
        <f t="shared" si="3"/>
        <v>0.04</v>
      </c>
      <c r="K12" s="184">
        <v>800</v>
      </c>
      <c r="L12" s="184">
        <v>1</v>
      </c>
      <c r="M12" s="184">
        <v>1.02</v>
      </c>
      <c r="N12" s="218">
        <v>0.65</v>
      </c>
      <c r="O12" s="337" t="s">
        <v>83</v>
      </c>
      <c r="P12" s="160" t="e">
        <f t="shared" si="4"/>
        <v>#REF!</v>
      </c>
      <c r="Q12" s="161" t="e">
        <f>K12*M12*#REF!</f>
        <v>#REF!</v>
      </c>
      <c r="R12" s="338">
        <f t="shared" si="5"/>
        <v>530.4</v>
      </c>
      <c r="S12" s="219">
        <v>0.5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" customFormat="1">
      <c r="A13" s="236"/>
      <c r="B13" s="250">
        <v>7</v>
      </c>
      <c r="C13" s="185" t="s">
        <v>93</v>
      </c>
      <c r="D13" s="187">
        <f>E13+I13</f>
        <v>17246</v>
      </c>
      <c r="E13" s="187">
        <f t="shared" si="1"/>
        <v>17246</v>
      </c>
      <c r="F13" s="187">
        <f t="shared" si="0"/>
        <v>20412</v>
      </c>
      <c r="G13" s="355">
        <f t="shared" si="2"/>
        <v>20412</v>
      </c>
      <c r="H13" s="188">
        <v>11885</v>
      </c>
      <c r="I13" s="184"/>
      <c r="J13" s="269">
        <f t="shared" si="3"/>
        <v>5.3999999999999999E-2</v>
      </c>
      <c r="K13" s="184">
        <v>1000</v>
      </c>
      <c r="L13" s="184">
        <v>1</v>
      </c>
      <c r="M13" s="218">
        <v>1.1000000000000001</v>
      </c>
      <c r="N13" s="218">
        <v>0.65</v>
      </c>
      <c r="O13" s="272" t="s">
        <v>83</v>
      </c>
      <c r="P13" s="273" t="e">
        <f t="shared" si="4"/>
        <v>#REF!</v>
      </c>
      <c r="Q13" s="274" t="e">
        <f>K13*M13*#REF!</f>
        <v>#REF!</v>
      </c>
      <c r="R13" s="336">
        <f t="shared" si="5"/>
        <v>715</v>
      </c>
      <c r="S13" s="214">
        <v>0.5</v>
      </c>
    </row>
    <row r="14" spans="1:34" s="4" customFormat="1">
      <c r="A14" s="236"/>
      <c r="B14" s="250">
        <v>8</v>
      </c>
      <c r="C14" s="185" t="s">
        <v>94</v>
      </c>
      <c r="D14" s="187">
        <f>E14+I14-3</f>
        <v>60630</v>
      </c>
      <c r="E14" s="187">
        <f t="shared" si="1"/>
        <v>56433</v>
      </c>
      <c r="F14" s="187">
        <f t="shared" si="0"/>
        <v>70993</v>
      </c>
      <c r="G14" s="355">
        <f t="shared" si="2"/>
        <v>66793</v>
      </c>
      <c r="H14" s="188">
        <v>21397</v>
      </c>
      <c r="I14" s="184">
        <v>4200</v>
      </c>
      <c r="J14" s="269">
        <f t="shared" si="3"/>
        <v>0.1767</v>
      </c>
      <c r="K14" s="184">
        <v>3000</v>
      </c>
      <c r="L14" s="184">
        <v>1</v>
      </c>
      <c r="M14" s="218">
        <v>1.2</v>
      </c>
      <c r="N14" s="218">
        <v>0.65</v>
      </c>
      <c r="O14" s="337" t="s">
        <v>83</v>
      </c>
      <c r="P14" s="160" t="e">
        <f t="shared" si="4"/>
        <v>#REF!</v>
      </c>
      <c r="Q14" s="161" t="e">
        <f>K14*M14*#REF!</f>
        <v>#REF!</v>
      </c>
      <c r="R14" s="338">
        <f t="shared" si="5"/>
        <v>2340</v>
      </c>
      <c r="S14" s="219">
        <v>0.5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4" customFormat="1">
      <c r="A15" s="236"/>
      <c r="B15" s="250">
        <v>9</v>
      </c>
      <c r="C15" s="185" t="s">
        <v>95</v>
      </c>
      <c r="D15" s="187">
        <f t="shared" ref="D15:D22" si="6">E15+I15</f>
        <v>13973</v>
      </c>
      <c r="E15" s="187">
        <f t="shared" si="1"/>
        <v>9773</v>
      </c>
      <c r="F15" s="187">
        <f t="shared" si="0"/>
        <v>15767</v>
      </c>
      <c r="G15" s="355">
        <f t="shared" si="2"/>
        <v>11567</v>
      </c>
      <c r="H15" s="255" t="s">
        <v>50</v>
      </c>
      <c r="I15" s="184">
        <v>4200</v>
      </c>
      <c r="J15" s="269">
        <f t="shared" si="3"/>
        <v>3.0599999999999999E-2</v>
      </c>
      <c r="K15" s="184">
        <v>600</v>
      </c>
      <c r="L15" s="184">
        <v>1</v>
      </c>
      <c r="M15" s="218">
        <v>1.04</v>
      </c>
      <c r="N15" s="218">
        <v>0.65</v>
      </c>
      <c r="O15" s="337" t="s">
        <v>82</v>
      </c>
      <c r="P15" s="160" t="e">
        <f>Q15/7189</f>
        <v>#REF!</v>
      </c>
      <c r="Q15" s="161" t="e">
        <f>K15*M15*#REF!</f>
        <v>#REF!</v>
      </c>
      <c r="R15" s="338">
        <f t="shared" si="5"/>
        <v>405.6</v>
      </c>
      <c r="S15" s="219">
        <v>0.65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1" customFormat="1">
      <c r="A16" s="236"/>
      <c r="B16" s="250">
        <v>10</v>
      </c>
      <c r="C16" s="185" t="s">
        <v>96</v>
      </c>
      <c r="D16" s="187">
        <f t="shared" si="6"/>
        <v>12775</v>
      </c>
      <c r="E16" s="187">
        <f t="shared" si="1"/>
        <v>12775</v>
      </c>
      <c r="F16" s="187">
        <f t="shared" si="0"/>
        <v>15120</v>
      </c>
      <c r="G16" s="355">
        <f t="shared" si="2"/>
        <v>15120</v>
      </c>
      <c r="H16" s="255" t="s">
        <v>50</v>
      </c>
      <c r="I16" s="184"/>
      <c r="J16" s="269">
        <f t="shared" si="3"/>
        <v>0.04</v>
      </c>
      <c r="K16" s="184">
        <v>800</v>
      </c>
      <c r="L16" s="184">
        <v>1</v>
      </c>
      <c r="M16" s="218">
        <v>1.02</v>
      </c>
      <c r="N16" s="218">
        <v>0.65</v>
      </c>
      <c r="O16" s="272" t="s">
        <v>82</v>
      </c>
      <c r="P16" s="273" t="e">
        <f>Q16/7189</f>
        <v>#REF!</v>
      </c>
      <c r="Q16" s="274" t="e">
        <f>K16*M16*#REF!</f>
        <v>#REF!</v>
      </c>
      <c r="R16" s="336">
        <f t="shared" si="5"/>
        <v>530.4</v>
      </c>
      <c r="S16" s="214">
        <v>0.65</v>
      </c>
    </row>
    <row r="17" spans="1:34" s="4" customFormat="1">
      <c r="A17" s="236"/>
      <c r="B17" s="250">
        <v>11</v>
      </c>
      <c r="C17" s="185" t="s">
        <v>97</v>
      </c>
      <c r="D17" s="187">
        <f t="shared" si="6"/>
        <v>5637</v>
      </c>
      <c r="E17" s="187">
        <f t="shared" si="1"/>
        <v>1437</v>
      </c>
      <c r="F17" s="187">
        <f t="shared" si="0"/>
        <v>5901</v>
      </c>
      <c r="G17" s="355">
        <f t="shared" si="2"/>
        <v>1701</v>
      </c>
      <c r="H17" s="188">
        <v>25</v>
      </c>
      <c r="I17" s="184">
        <v>4200</v>
      </c>
      <c r="J17" s="269">
        <f t="shared" si="3"/>
        <v>4.4999999999999997E-3</v>
      </c>
      <c r="K17" s="184">
        <v>90</v>
      </c>
      <c r="L17" s="184">
        <v>1</v>
      </c>
      <c r="M17" s="218">
        <v>1.03</v>
      </c>
      <c r="N17" s="218">
        <v>0.65</v>
      </c>
      <c r="O17" s="337" t="s">
        <v>82</v>
      </c>
      <c r="P17" s="160" t="e">
        <f>Q17/7189</f>
        <v>#REF!</v>
      </c>
      <c r="Q17" s="161" t="e">
        <f>K17*M17*#REF!</f>
        <v>#REF!</v>
      </c>
      <c r="R17" s="338">
        <f t="shared" si="5"/>
        <v>60.255000000000003</v>
      </c>
      <c r="S17" s="219">
        <v>0.65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162" customFormat="1">
      <c r="A18" s="356"/>
      <c r="B18" s="357"/>
      <c r="C18" s="358" t="s">
        <v>62</v>
      </c>
      <c r="D18" s="195">
        <f>SUM(D7:D17)</f>
        <v>204892</v>
      </c>
      <c r="E18" s="195"/>
      <c r="F18" s="195"/>
      <c r="G18" s="359"/>
      <c r="H18" s="360"/>
      <c r="I18" s="357"/>
      <c r="J18" s="364"/>
      <c r="K18" s="357"/>
      <c r="L18" s="357"/>
      <c r="M18" s="365"/>
      <c r="N18" s="365"/>
      <c r="O18" s="366"/>
      <c r="P18" s="367"/>
      <c r="Q18" s="373"/>
      <c r="R18" s="374"/>
      <c r="S18" s="375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</row>
    <row r="19" spans="1:34" s="4" customFormat="1">
      <c r="A19" s="236"/>
      <c r="B19" s="250">
        <v>12</v>
      </c>
      <c r="C19" s="354" t="s">
        <v>98</v>
      </c>
      <c r="D19" s="187">
        <f t="shared" si="6"/>
        <v>11578</v>
      </c>
      <c r="E19" s="187">
        <f t="shared" si="1"/>
        <v>7378</v>
      </c>
      <c r="F19" s="187">
        <f t="shared" si="0"/>
        <v>12932</v>
      </c>
      <c r="G19" s="355">
        <f t="shared" si="2"/>
        <v>8732</v>
      </c>
      <c r="H19" s="252">
        <v>5890</v>
      </c>
      <c r="I19" s="250">
        <v>4200</v>
      </c>
      <c r="J19" s="269">
        <f t="shared" si="3"/>
        <v>2.3099999999999999E-2</v>
      </c>
      <c r="K19" s="250">
        <v>600</v>
      </c>
      <c r="L19" s="250">
        <v>1</v>
      </c>
      <c r="M19" s="267">
        <v>1.02</v>
      </c>
      <c r="N19" s="267">
        <v>0.5</v>
      </c>
      <c r="O19" s="342" t="s">
        <v>83</v>
      </c>
      <c r="P19" s="160" t="e">
        <f>Q19/7189</f>
        <v>#REF!</v>
      </c>
      <c r="Q19" s="161" t="e">
        <f>K19*M19*#REF!</f>
        <v>#REF!</v>
      </c>
      <c r="R19" s="338">
        <f t="shared" ref="R19:R27" si="7">K19*L19*M19*N19</f>
        <v>306</v>
      </c>
      <c r="S19" s="324">
        <v>0.65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1" customFormat="1">
      <c r="A20" s="236"/>
      <c r="B20" s="250">
        <v>13</v>
      </c>
      <c r="C20" s="185" t="s">
        <v>92</v>
      </c>
      <c r="D20" s="187">
        <f t="shared" si="6"/>
        <v>35738</v>
      </c>
      <c r="E20" s="187">
        <f t="shared" si="1"/>
        <v>35738</v>
      </c>
      <c r="F20" s="187">
        <f t="shared" si="0"/>
        <v>42298</v>
      </c>
      <c r="G20" s="355">
        <f t="shared" si="2"/>
        <v>42298</v>
      </c>
      <c r="H20" s="255" t="s">
        <v>50</v>
      </c>
      <c r="I20" s="184"/>
      <c r="J20" s="269">
        <f t="shared" si="3"/>
        <v>0.1119</v>
      </c>
      <c r="K20" s="184">
        <v>2600</v>
      </c>
      <c r="L20" s="184">
        <v>1</v>
      </c>
      <c r="M20" s="218">
        <v>1.1399999999999999</v>
      </c>
      <c r="N20" s="267">
        <v>0.5</v>
      </c>
      <c r="O20" s="272" t="s">
        <v>82</v>
      </c>
      <c r="P20" s="273" t="e">
        <f>Q20/7189</f>
        <v>#REF!</v>
      </c>
      <c r="Q20" s="274" t="e">
        <f>K20*M20*#REF!</f>
        <v>#REF!</v>
      </c>
      <c r="R20" s="336">
        <f t="shared" si="7"/>
        <v>1482</v>
      </c>
      <c r="S20" s="214">
        <v>0.65</v>
      </c>
    </row>
    <row r="21" spans="1:34" s="1" customFormat="1">
      <c r="A21" s="236"/>
      <c r="B21" s="250">
        <v>14</v>
      </c>
      <c r="C21" s="185" t="s">
        <v>99</v>
      </c>
      <c r="D21" s="187">
        <f t="shared" si="6"/>
        <v>25805</v>
      </c>
      <c r="E21" s="187">
        <f t="shared" si="1"/>
        <v>25805</v>
      </c>
      <c r="F21" s="187">
        <f t="shared" si="0"/>
        <v>30542</v>
      </c>
      <c r="G21" s="355">
        <f t="shared" si="2"/>
        <v>30542</v>
      </c>
      <c r="H21" s="188">
        <v>7167</v>
      </c>
      <c r="I21" s="184"/>
      <c r="J21" s="269">
        <f t="shared" si="3"/>
        <v>8.0799999999999997E-2</v>
      </c>
      <c r="K21" s="184">
        <v>2000</v>
      </c>
      <c r="L21" s="184">
        <v>1</v>
      </c>
      <c r="M21" s="218">
        <v>1.07</v>
      </c>
      <c r="N21" s="267">
        <v>0.5</v>
      </c>
      <c r="O21" s="272" t="s">
        <v>83</v>
      </c>
      <c r="P21" s="273" t="e">
        <f>Q21/7189</f>
        <v>#REF!</v>
      </c>
      <c r="Q21" s="274" t="e">
        <f>K21*M21*#REF!</f>
        <v>#REF!</v>
      </c>
      <c r="R21" s="336">
        <f t="shared" si="7"/>
        <v>1070</v>
      </c>
      <c r="S21" s="214">
        <v>0.5</v>
      </c>
    </row>
    <row r="22" spans="1:34" s="64" customFormat="1">
      <c r="A22" s="236"/>
      <c r="B22" s="250">
        <v>15</v>
      </c>
      <c r="C22" s="185" t="s">
        <v>100</v>
      </c>
      <c r="D22" s="187">
        <f t="shared" si="6"/>
        <v>7218</v>
      </c>
      <c r="E22" s="187">
        <f t="shared" si="1"/>
        <v>7218</v>
      </c>
      <c r="F22" s="187">
        <f t="shared" si="0"/>
        <v>8543</v>
      </c>
      <c r="G22" s="355">
        <f t="shared" si="2"/>
        <v>8543</v>
      </c>
      <c r="H22" s="188">
        <v>985</v>
      </c>
      <c r="I22" s="184"/>
      <c r="J22" s="269">
        <f t="shared" si="3"/>
        <v>2.2599999999999999E-2</v>
      </c>
      <c r="K22" s="184">
        <v>600</v>
      </c>
      <c r="L22" s="184">
        <v>1</v>
      </c>
      <c r="M22" s="218">
        <v>1</v>
      </c>
      <c r="N22" s="267">
        <v>0.5</v>
      </c>
      <c r="O22" s="272" t="s">
        <v>84</v>
      </c>
      <c r="P22" s="340" t="e">
        <f t="shared" si="4"/>
        <v>#REF!</v>
      </c>
      <c r="Q22" s="341" t="e">
        <f>K23*M23*#REF!</f>
        <v>#REF!</v>
      </c>
      <c r="R22" s="336">
        <f t="shared" si="7"/>
        <v>300</v>
      </c>
      <c r="S22" s="214">
        <v>0.5</v>
      </c>
    </row>
    <row r="23" spans="1:34" s="4" customFormat="1">
      <c r="A23" s="236"/>
      <c r="B23" s="250">
        <v>16</v>
      </c>
      <c r="C23" s="185" t="s">
        <v>117</v>
      </c>
      <c r="D23" s="188">
        <v>9750</v>
      </c>
      <c r="E23" s="187">
        <f t="shared" si="1"/>
        <v>4982</v>
      </c>
      <c r="F23" s="187">
        <f t="shared" si="0"/>
        <v>10097</v>
      </c>
      <c r="G23" s="355">
        <f t="shared" si="2"/>
        <v>5897</v>
      </c>
      <c r="H23" s="188">
        <v>9750</v>
      </c>
      <c r="I23" s="184">
        <v>4200</v>
      </c>
      <c r="J23" s="269">
        <f t="shared" si="3"/>
        <v>1.5599999999999999E-2</v>
      </c>
      <c r="K23" s="184">
        <v>400</v>
      </c>
      <c r="L23" s="184">
        <v>1</v>
      </c>
      <c r="M23" s="184">
        <v>1.03</v>
      </c>
      <c r="N23" s="267">
        <v>0.5</v>
      </c>
      <c r="O23" s="337" t="s">
        <v>84</v>
      </c>
      <c r="P23" s="160" t="e">
        <f t="shared" si="4"/>
        <v>#REF!</v>
      </c>
      <c r="Q23" s="161" t="e">
        <f>K24*M24*#REF!</f>
        <v>#REF!</v>
      </c>
      <c r="R23" s="338">
        <f t="shared" si="7"/>
        <v>206</v>
      </c>
      <c r="S23" s="219">
        <v>0.5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4" customFormat="1">
      <c r="A24" s="236"/>
      <c r="B24" s="250">
        <v>17</v>
      </c>
      <c r="C24" s="185" t="s">
        <v>102</v>
      </c>
      <c r="D24" s="187">
        <f>E24+I24</f>
        <v>26971</v>
      </c>
      <c r="E24" s="187">
        <f t="shared" si="1"/>
        <v>22771</v>
      </c>
      <c r="F24" s="187">
        <f t="shared" si="0"/>
        <v>31151</v>
      </c>
      <c r="G24" s="355">
        <f t="shared" si="2"/>
        <v>26951</v>
      </c>
      <c r="H24" s="188">
        <v>50</v>
      </c>
      <c r="I24" s="184">
        <v>4200</v>
      </c>
      <c r="J24" s="269">
        <f t="shared" si="3"/>
        <v>7.1300000000000002E-2</v>
      </c>
      <c r="K24" s="184">
        <v>1800</v>
      </c>
      <c r="L24" s="184">
        <v>1</v>
      </c>
      <c r="M24" s="184">
        <v>1.05</v>
      </c>
      <c r="N24" s="267">
        <v>0.5</v>
      </c>
      <c r="O24" s="337" t="s">
        <v>84</v>
      </c>
      <c r="P24" s="160" t="e">
        <f t="shared" si="4"/>
        <v>#REF!</v>
      </c>
      <c r="Q24" s="161" t="e">
        <f>K25*M25*#REF!</f>
        <v>#REF!</v>
      </c>
      <c r="R24" s="338">
        <f t="shared" si="7"/>
        <v>945</v>
      </c>
      <c r="S24" s="219">
        <v>0.5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" customFormat="1">
      <c r="A25" s="236"/>
      <c r="B25" s="250">
        <v>18</v>
      </c>
      <c r="C25" s="185" t="s">
        <v>118</v>
      </c>
      <c r="D25" s="188">
        <v>13234</v>
      </c>
      <c r="E25" s="187">
        <f t="shared" si="1"/>
        <v>7601</v>
      </c>
      <c r="F25" s="187">
        <f t="shared" si="0"/>
        <v>8996</v>
      </c>
      <c r="G25" s="355">
        <f t="shared" si="2"/>
        <v>8996</v>
      </c>
      <c r="H25" s="188">
        <v>13234</v>
      </c>
      <c r="I25" s="184"/>
      <c r="J25" s="269">
        <f t="shared" si="3"/>
        <v>2.3800000000000002E-2</v>
      </c>
      <c r="K25" s="184">
        <v>600</v>
      </c>
      <c r="L25" s="184">
        <v>1</v>
      </c>
      <c r="M25" s="184">
        <v>1.05</v>
      </c>
      <c r="N25" s="267">
        <v>0.5</v>
      </c>
      <c r="O25" s="272" t="s">
        <v>84</v>
      </c>
      <c r="P25" s="273" t="e">
        <f t="shared" si="4"/>
        <v>#REF!</v>
      </c>
      <c r="Q25" s="274" t="e">
        <f>K26*M26*#REF!</f>
        <v>#REF!</v>
      </c>
      <c r="R25" s="336">
        <f t="shared" si="7"/>
        <v>315</v>
      </c>
      <c r="S25" s="214">
        <v>0.5</v>
      </c>
    </row>
    <row r="26" spans="1:34" s="1" customFormat="1">
      <c r="A26" s="236"/>
      <c r="B26" s="250">
        <v>19</v>
      </c>
      <c r="C26" s="185" t="s">
        <v>119</v>
      </c>
      <c r="D26" s="188">
        <v>27782</v>
      </c>
      <c r="E26" s="187">
        <f t="shared" si="1"/>
        <v>8783</v>
      </c>
      <c r="F26" s="187">
        <f t="shared" si="0"/>
        <v>10395</v>
      </c>
      <c r="G26" s="355">
        <f t="shared" si="2"/>
        <v>10395</v>
      </c>
      <c r="H26" s="188">
        <v>27782</v>
      </c>
      <c r="I26" s="184"/>
      <c r="J26" s="269">
        <f t="shared" si="3"/>
        <v>2.75E-2</v>
      </c>
      <c r="K26" s="184">
        <v>700</v>
      </c>
      <c r="L26" s="184">
        <v>1</v>
      </c>
      <c r="M26" s="184">
        <v>1.04</v>
      </c>
      <c r="N26" s="267">
        <v>0.5</v>
      </c>
      <c r="O26" s="343"/>
      <c r="P26" s="344"/>
      <c r="Q26" s="274" t="e">
        <f>SUM(Q7:Q25)</f>
        <v>#REF!</v>
      </c>
      <c r="R26" s="336">
        <f t="shared" si="7"/>
        <v>364</v>
      </c>
      <c r="S26" s="214">
        <v>0.5</v>
      </c>
    </row>
    <row r="27" spans="1:34" s="4" customFormat="1" ht="25.5" customHeight="1">
      <c r="A27" s="236"/>
      <c r="B27" s="250">
        <v>20</v>
      </c>
      <c r="C27" s="185" t="s">
        <v>120</v>
      </c>
      <c r="D27" s="188">
        <v>14700</v>
      </c>
      <c r="E27" s="187">
        <f t="shared" si="1"/>
        <v>11178</v>
      </c>
      <c r="F27" s="187">
        <f t="shared" si="0"/>
        <v>17430</v>
      </c>
      <c r="G27" s="355">
        <f t="shared" si="2"/>
        <v>13230</v>
      </c>
      <c r="H27" s="188">
        <v>14700</v>
      </c>
      <c r="I27" s="184">
        <v>4200</v>
      </c>
      <c r="J27" s="269">
        <f t="shared" si="3"/>
        <v>3.5000000000000003E-2</v>
      </c>
      <c r="K27" s="184">
        <v>900</v>
      </c>
      <c r="L27" s="184">
        <v>1</v>
      </c>
      <c r="M27" s="218">
        <v>1.03</v>
      </c>
      <c r="N27" s="267">
        <v>0.5</v>
      </c>
      <c r="O27" s="345"/>
      <c r="P27" s="346"/>
      <c r="Q27" s="346"/>
      <c r="R27" s="338">
        <f t="shared" si="7"/>
        <v>463.5</v>
      </c>
      <c r="S27" s="219">
        <v>0.5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62" customFormat="1" ht="25.5" customHeight="1">
      <c r="A28" s="356"/>
      <c r="B28" s="357"/>
      <c r="C28" s="361" t="s">
        <v>106</v>
      </c>
      <c r="D28" s="198">
        <f>SUM(D19:D27)</f>
        <v>172776</v>
      </c>
      <c r="E28" s="195"/>
      <c r="F28" s="195"/>
      <c r="G28" s="359"/>
      <c r="H28" s="198"/>
      <c r="I28" s="193"/>
      <c r="J28" s="364"/>
      <c r="K28" s="193"/>
      <c r="L28" s="193"/>
      <c r="M28" s="220"/>
      <c r="N28" s="365"/>
      <c r="O28" s="368"/>
      <c r="P28" s="369"/>
      <c r="Q28" s="369"/>
      <c r="R28" s="374"/>
      <c r="S28" s="223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</row>
    <row r="29" spans="1:34" s="1" customFormat="1">
      <c r="A29" s="236"/>
      <c r="B29" s="184">
        <v>21</v>
      </c>
      <c r="C29" s="185" t="s">
        <v>107</v>
      </c>
      <c r="D29" s="188">
        <v>2241</v>
      </c>
      <c r="E29" s="187">
        <f t="shared" si="1"/>
        <v>2171</v>
      </c>
      <c r="F29" s="187">
        <f t="shared" ref="F29:F37" si="8">SUM(G29+I29)</f>
        <v>2570</v>
      </c>
      <c r="G29" s="355">
        <f t="shared" si="2"/>
        <v>2570</v>
      </c>
      <c r="H29" s="188">
        <v>2241</v>
      </c>
      <c r="I29" s="184"/>
      <c r="J29" s="269">
        <f t="shared" si="3"/>
        <v>6.7999999999999996E-3</v>
      </c>
      <c r="K29" s="184">
        <v>360</v>
      </c>
      <c r="L29" s="184">
        <v>1</v>
      </c>
      <c r="M29" s="218">
        <v>1</v>
      </c>
      <c r="N29" s="218">
        <v>0.25</v>
      </c>
      <c r="O29" s="272" t="s">
        <v>85</v>
      </c>
      <c r="P29" s="273" t="e">
        <f t="shared" ref="P29:P37" si="9">Q29/7189</f>
        <v>#REF!</v>
      </c>
      <c r="Q29" s="274" t="e">
        <f>K31*M31*#REF!</f>
        <v>#REF!</v>
      </c>
      <c r="R29" s="336">
        <f t="shared" ref="R29:R37" si="10">K29*L29*M29*N29</f>
        <v>90</v>
      </c>
      <c r="S29" s="214">
        <v>0.5</v>
      </c>
    </row>
    <row r="30" spans="1:34" s="4" customFormat="1">
      <c r="A30" s="236"/>
      <c r="B30" s="184">
        <v>22</v>
      </c>
      <c r="C30" s="185" t="s">
        <v>108</v>
      </c>
      <c r="D30" s="187">
        <f>E30+I30</f>
        <v>7330</v>
      </c>
      <c r="E30" s="187">
        <f t="shared" si="1"/>
        <v>3130</v>
      </c>
      <c r="F30" s="187">
        <f t="shared" si="8"/>
        <v>7904</v>
      </c>
      <c r="G30" s="355">
        <f t="shared" si="2"/>
        <v>3704</v>
      </c>
      <c r="H30" s="255" t="s">
        <v>50</v>
      </c>
      <c r="I30" s="184">
        <v>4200</v>
      </c>
      <c r="J30" s="269">
        <f t="shared" si="3"/>
        <v>9.7999999999999997E-3</v>
      </c>
      <c r="K30" s="184">
        <v>500</v>
      </c>
      <c r="L30" s="184">
        <v>1</v>
      </c>
      <c r="M30" s="218">
        <v>1.04</v>
      </c>
      <c r="N30" s="218">
        <v>0.25</v>
      </c>
      <c r="O30" s="337" t="s">
        <v>85</v>
      </c>
      <c r="P30" s="160" t="e">
        <f t="shared" si="9"/>
        <v>#REF!</v>
      </c>
      <c r="Q30" s="161" t="e">
        <f>K32*M32*#REF!</f>
        <v>#REF!</v>
      </c>
      <c r="R30" s="338">
        <f t="shared" si="10"/>
        <v>130</v>
      </c>
      <c r="S30" s="219">
        <v>0.25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" customFormat="1">
      <c r="A31" s="236"/>
      <c r="B31" s="184">
        <v>23</v>
      </c>
      <c r="C31" s="185" t="s">
        <v>109</v>
      </c>
      <c r="D31" s="187">
        <f>E31+I31</f>
        <v>1213</v>
      </c>
      <c r="E31" s="187">
        <f t="shared" si="1"/>
        <v>1213</v>
      </c>
      <c r="F31" s="187">
        <f t="shared" si="8"/>
        <v>1436</v>
      </c>
      <c r="G31" s="355">
        <f t="shared" si="2"/>
        <v>1436</v>
      </c>
      <c r="H31" s="255" t="s">
        <v>50</v>
      </c>
      <c r="I31" s="184"/>
      <c r="J31" s="269">
        <f t="shared" si="3"/>
        <v>3.8E-3</v>
      </c>
      <c r="K31" s="184">
        <v>200</v>
      </c>
      <c r="L31" s="184">
        <v>1</v>
      </c>
      <c r="M31" s="218">
        <v>1.01</v>
      </c>
      <c r="N31" s="218">
        <v>0.25</v>
      </c>
      <c r="O31" s="272" t="s">
        <v>84</v>
      </c>
      <c r="P31" s="273" t="e">
        <f t="shared" si="9"/>
        <v>#REF!</v>
      </c>
      <c r="Q31" s="274" t="e">
        <f>K22*M22*#REF!</f>
        <v>#REF!</v>
      </c>
      <c r="R31" s="336">
        <f t="shared" si="10"/>
        <v>50.5</v>
      </c>
      <c r="S31" s="214">
        <v>0.25</v>
      </c>
    </row>
    <row r="32" spans="1:34" s="1" customFormat="1">
      <c r="A32" s="236"/>
      <c r="B32" s="184">
        <v>24</v>
      </c>
      <c r="C32" s="185" t="s">
        <v>110</v>
      </c>
      <c r="D32" s="187">
        <f>E32+I32</f>
        <v>1821</v>
      </c>
      <c r="E32" s="187">
        <f t="shared" si="1"/>
        <v>1821</v>
      </c>
      <c r="F32" s="187">
        <f t="shared" si="8"/>
        <v>2155</v>
      </c>
      <c r="G32" s="355">
        <f t="shared" si="2"/>
        <v>2155</v>
      </c>
      <c r="H32" s="188">
        <v>1244</v>
      </c>
      <c r="I32" s="184"/>
      <c r="J32" s="269">
        <f t="shared" si="3"/>
        <v>5.7000000000000002E-3</v>
      </c>
      <c r="K32" s="184">
        <v>300</v>
      </c>
      <c r="L32" s="184">
        <v>1</v>
      </c>
      <c r="M32" s="218">
        <v>1</v>
      </c>
      <c r="N32" s="218">
        <v>0.25</v>
      </c>
      <c r="O32" s="272" t="s">
        <v>84</v>
      </c>
      <c r="P32" s="273" t="e">
        <f t="shared" si="9"/>
        <v>#REF!</v>
      </c>
      <c r="Q32" s="274" t="e">
        <f>K33*M33*#REF!</f>
        <v>#REF!</v>
      </c>
      <c r="R32" s="336">
        <f t="shared" si="10"/>
        <v>75</v>
      </c>
      <c r="S32" s="214">
        <v>0.25</v>
      </c>
    </row>
    <row r="33" spans="1:19" s="1" customFormat="1">
      <c r="A33" s="236"/>
      <c r="B33" s="184">
        <v>25</v>
      </c>
      <c r="C33" s="185" t="s">
        <v>111</v>
      </c>
      <c r="D33" s="188">
        <v>6898</v>
      </c>
      <c r="E33" s="187">
        <f t="shared" si="1"/>
        <v>3992</v>
      </c>
      <c r="F33" s="187">
        <f t="shared" si="8"/>
        <v>4725</v>
      </c>
      <c r="G33" s="355">
        <f t="shared" si="2"/>
        <v>4725</v>
      </c>
      <c r="H33" s="188">
        <v>6898</v>
      </c>
      <c r="I33" s="184"/>
      <c r="J33" s="269">
        <f t="shared" si="3"/>
        <v>1.2500000000000001E-2</v>
      </c>
      <c r="K33" s="184">
        <v>1125</v>
      </c>
      <c r="L33" s="184">
        <v>0.58799999999999997</v>
      </c>
      <c r="M33" s="218">
        <v>1</v>
      </c>
      <c r="N33" s="218">
        <v>0.25</v>
      </c>
      <c r="O33" s="272" t="s">
        <v>84</v>
      </c>
      <c r="P33" s="273" t="e">
        <f t="shared" si="9"/>
        <v>#REF!</v>
      </c>
      <c r="Q33" s="274" t="e">
        <f>K27*M27*#REF!</f>
        <v>#REF!</v>
      </c>
      <c r="R33" s="336">
        <f t="shared" si="10"/>
        <v>165.375</v>
      </c>
      <c r="S33" s="214">
        <v>0.5</v>
      </c>
    </row>
    <row r="34" spans="1:19" s="64" customFormat="1">
      <c r="A34" s="236"/>
      <c r="B34" s="184">
        <v>26</v>
      </c>
      <c r="C34" s="185" t="s">
        <v>112</v>
      </c>
      <c r="D34" s="188">
        <v>4930</v>
      </c>
      <c r="E34" s="187">
        <f t="shared" si="1"/>
        <v>3034</v>
      </c>
      <c r="F34" s="187">
        <f t="shared" si="8"/>
        <v>3591</v>
      </c>
      <c r="G34" s="355">
        <f t="shared" si="2"/>
        <v>3591</v>
      </c>
      <c r="H34" s="188">
        <v>4930</v>
      </c>
      <c r="I34" s="184"/>
      <c r="J34" s="269">
        <f t="shared" si="3"/>
        <v>9.4999999999999998E-3</v>
      </c>
      <c r="K34" s="184">
        <v>500</v>
      </c>
      <c r="L34" s="184">
        <v>1</v>
      </c>
      <c r="M34" s="218">
        <v>1.01</v>
      </c>
      <c r="N34" s="218">
        <v>0.25</v>
      </c>
      <c r="O34" s="272" t="s">
        <v>84</v>
      </c>
      <c r="P34" s="340" t="e">
        <f t="shared" si="9"/>
        <v>#REF!</v>
      </c>
      <c r="Q34" s="341" t="e">
        <f>K34*M34*#REF!</f>
        <v>#REF!</v>
      </c>
      <c r="R34" s="336">
        <f t="shared" si="10"/>
        <v>126.25</v>
      </c>
      <c r="S34" s="214">
        <v>0.5</v>
      </c>
    </row>
    <row r="35" spans="1:19" s="1" customFormat="1">
      <c r="A35" s="236"/>
      <c r="B35" s="184">
        <v>27</v>
      </c>
      <c r="C35" s="185" t="s">
        <v>113</v>
      </c>
      <c r="D35" s="254">
        <v>10000</v>
      </c>
      <c r="E35" s="187">
        <f t="shared" si="1"/>
        <v>3034</v>
      </c>
      <c r="F35" s="187">
        <f t="shared" si="8"/>
        <v>3591</v>
      </c>
      <c r="G35" s="355">
        <f t="shared" si="2"/>
        <v>3591</v>
      </c>
      <c r="H35" s="254">
        <v>10000</v>
      </c>
      <c r="I35" s="184"/>
      <c r="J35" s="269">
        <f t="shared" si="3"/>
        <v>9.4999999999999998E-3</v>
      </c>
      <c r="K35" s="184">
        <v>500</v>
      </c>
      <c r="L35" s="184">
        <v>1</v>
      </c>
      <c r="M35" s="218">
        <v>1.01</v>
      </c>
      <c r="N35" s="218">
        <v>0.25</v>
      </c>
      <c r="O35" s="272" t="s">
        <v>84</v>
      </c>
      <c r="P35" s="273" t="e">
        <f t="shared" si="9"/>
        <v>#REF!</v>
      </c>
      <c r="Q35" s="274" t="e">
        <f>K35*M35*#REF!</f>
        <v>#REF!</v>
      </c>
      <c r="R35" s="336">
        <f t="shared" si="10"/>
        <v>126.25</v>
      </c>
      <c r="S35" s="214">
        <v>0.5</v>
      </c>
    </row>
    <row r="36" spans="1:19" s="1" customFormat="1">
      <c r="A36" s="236"/>
      <c r="B36" s="184">
        <v>28</v>
      </c>
      <c r="C36" s="185" t="s">
        <v>114</v>
      </c>
      <c r="D36" s="188">
        <v>7068</v>
      </c>
      <c r="E36" s="187">
        <f t="shared" si="1"/>
        <v>4247</v>
      </c>
      <c r="F36" s="187">
        <f t="shared" si="8"/>
        <v>5027</v>
      </c>
      <c r="G36" s="355">
        <f t="shared" si="2"/>
        <v>5027</v>
      </c>
      <c r="H36" s="188">
        <v>7068</v>
      </c>
      <c r="I36" s="184"/>
      <c r="J36" s="269">
        <f t="shared" si="3"/>
        <v>1.3299999999999999E-2</v>
      </c>
      <c r="K36" s="184">
        <v>900</v>
      </c>
      <c r="L36" s="184">
        <v>0.77</v>
      </c>
      <c r="M36" s="218">
        <v>1.02</v>
      </c>
      <c r="N36" s="218">
        <v>0.25</v>
      </c>
      <c r="O36" s="272" t="s">
        <v>84</v>
      </c>
      <c r="P36" s="273" t="e">
        <f t="shared" si="9"/>
        <v>#REF!</v>
      </c>
      <c r="Q36" s="274" t="e">
        <f>K36*M36*#REF!</f>
        <v>#REF!</v>
      </c>
      <c r="R36" s="336">
        <f t="shared" si="10"/>
        <v>176.715</v>
      </c>
      <c r="S36" s="214">
        <v>0.5</v>
      </c>
    </row>
    <row r="37" spans="1:19" s="1" customFormat="1">
      <c r="A37" s="236"/>
      <c r="B37" s="184">
        <v>29</v>
      </c>
      <c r="C37" s="201" t="s">
        <v>79</v>
      </c>
      <c r="D37" s="187">
        <f>E37+I37</f>
        <v>831</v>
      </c>
      <c r="E37" s="187">
        <f t="shared" si="1"/>
        <v>831</v>
      </c>
      <c r="F37" s="187">
        <f t="shared" si="8"/>
        <v>983</v>
      </c>
      <c r="G37" s="355">
        <f t="shared" si="2"/>
        <v>983</v>
      </c>
      <c r="H37" s="255" t="s">
        <v>50</v>
      </c>
      <c r="I37" s="184"/>
      <c r="J37" s="269">
        <f t="shared" si="3"/>
        <v>2.5999999999999999E-3</v>
      </c>
      <c r="K37" s="184">
        <v>140</v>
      </c>
      <c r="L37" s="184">
        <v>1</v>
      </c>
      <c r="M37" s="218">
        <v>1</v>
      </c>
      <c r="N37" s="218">
        <v>0.25</v>
      </c>
      <c r="O37" s="272" t="s">
        <v>84</v>
      </c>
      <c r="P37" s="273" t="e">
        <f t="shared" si="9"/>
        <v>#REF!</v>
      </c>
      <c r="Q37" s="274" t="e">
        <f>K37*M37*#REF!</f>
        <v>#REF!</v>
      </c>
      <c r="R37" s="336">
        <f t="shared" si="10"/>
        <v>35</v>
      </c>
      <c r="S37" s="214">
        <v>0.5</v>
      </c>
    </row>
    <row r="38" spans="1:19" s="163" customFormat="1" ht="31.2">
      <c r="B38" s="362"/>
      <c r="C38" s="361" t="s">
        <v>115</v>
      </c>
      <c r="D38" s="195">
        <f>SUM(D29:D37)</f>
        <v>42332</v>
      </c>
      <c r="E38" s="195">
        <f t="shared" si="1"/>
        <v>0</v>
      </c>
      <c r="F38" s="193"/>
      <c r="G38" s="195"/>
      <c r="H38" s="363"/>
      <c r="I38" s="193"/>
      <c r="J38" s="220"/>
      <c r="K38" s="193"/>
      <c r="L38" s="193"/>
      <c r="M38" s="193"/>
      <c r="N38" s="193"/>
      <c r="O38" s="370"/>
      <c r="P38" s="371"/>
      <c r="Q38" s="376"/>
      <c r="R38" s="377"/>
      <c r="S38" s="229"/>
    </row>
    <row r="39" spans="1:19" s="64" customFormat="1">
      <c r="B39" s="204"/>
      <c r="C39" s="205"/>
      <c r="D39" s="207"/>
      <c r="E39" s="206"/>
      <c r="F39" s="207"/>
      <c r="G39" s="206"/>
      <c r="H39" s="175"/>
      <c r="I39" s="207"/>
      <c r="J39" s="372"/>
      <c r="K39" s="207"/>
      <c r="L39" s="207"/>
      <c r="M39" s="207"/>
      <c r="N39" s="207"/>
      <c r="O39" s="232"/>
      <c r="P39" s="349"/>
      <c r="Q39" s="341"/>
      <c r="R39" s="233"/>
      <c r="S39" s="232"/>
    </row>
    <row r="41" spans="1:19">
      <c r="D41" s="167"/>
      <c r="S41" s="234"/>
    </row>
    <row r="42" spans="1:19">
      <c r="H42" s="208"/>
    </row>
  </sheetData>
  <mergeCells count="2">
    <mergeCell ref="A1:B1"/>
    <mergeCell ref="B3:O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topLeftCell="A19" workbookViewId="0">
      <selection activeCell="F36" sqref="F36"/>
    </sheetView>
  </sheetViews>
  <sheetFormatPr defaultColWidth="9" defaultRowHeight="17.399999999999999"/>
  <cols>
    <col min="1" max="1" width="2.21875" customWidth="1"/>
    <col min="2" max="2" width="15" style="120" customWidth="1"/>
    <col min="3" max="7" width="13.21875" style="65" customWidth="1"/>
    <col min="8" max="8" width="11.6640625" style="279" customWidth="1"/>
    <col min="9" max="9" width="12" style="142" hidden="1" customWidth="1"/>
    <col min="10" max="10" width="10.77734375" style="121" hidden="1" customWidth="1"/>
    <col min="11" max="11" width="10.77734375" style="280" customWidth="1"/>
    <col min="12" max="12" width="8.6640625" style="65" customWidth="1"/>
    <col min="13" max="13" width="9.77734375" style="122" customWidth="1"/>
    <col min="14" max="14" width="10.44140625" style="120" customWidth="1"/>
    <col min="15" max="15" width="8.21875" style="120" customWidth="1"/>
    <col min="16" max="17" width="8.44140625" style="120" customWidth="1"/>
    <col min="18" max="18" width="5.6640625" hidden="1" customWidth="1"/>
    <col min="19" max="19" width="10.21875" style="6" hidden="1" customWidth="1"/>
    <col min="20" max="20" width="9.21875" style="6" hidden="1" customWidth="1"/>
    <col min="21" max="21" width="12.21875" style="5" customWidth="1"/>
  </cols>
  <sheetData>
    <row r="1" spans="1:22">
      <c r="A1" s="539" t="s">
        <v>34</v>
      </c>
      <c r="B1" s="540"/>
      <c r="C1" s="173"/>
      <c r="D1" s="173"/>
      <c r="E1" s="173"/>
      <c r="F1" s="173"/>
      <c r="G1" s="173"/>
      <c r="H1" s="174"/>
      <c r="I1" s="239"/>
      <c r="J1" s="240"/>
      <c r="K1" s="175"/>
      <c r="L1" s="173"/>
      <c r="M1" s="260"/>
      <c r="N1" s="173"/>
      <c r="O1" s="173"/>
      <c r="P1" s="173"/>
      <c r="Q1" s="173"/>
      <c r="R1" s="210"/>
    </row>
    <row r="2" spans="1:22">
      <c r="A2" s="238"/>
      <c r="B2" s="176"/>
      <c r="C2" s="173"/>
      <c r="D2" s="173"/>
      <c r="E2" s="173"/>
      <c r="F2" s="173"/>
      <c r="G2" s="173"/>
      <c r="H2" s="174"/>
      <c r="I2" s="239"/>
      <c r="J2" s="240"/>
      <c r="K2" s="175"/>
      <c r="L2" s="173"/>
      <c r="M2" s="260"/>
      <c r="N2" s="173"/>
      <c r="O2" s="173"/>
      <c r="P2" s="173"/>
      <c r="Q2" s="173"/>
      <c r="R2" s="210"/>
    </row>
    <row r="3" spans="1:22" ht="20.399999999999999">
      <c r="A3" s="241"/>
      <c r="B3" s="537" t="s">
        <v>35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8"/>
    </row>
    <row r="4" spans="1:22">
      <c r="A4" s="241"/>
      <c r="B4" s="242"/>
      <c r="C4" s="242"/>
      <c r="D4" s="242"/>
      <c r="E4" s="242"/>
      <c r="F4" s="242"/>
      <c r="G4" s="242"/>
      <c r="H4" s="281"/>
      <c r="I4" s="243"/>
      <c r="J4" s="244"/>
      <c r="K4" s="303"/>
      <c r="L4" s="242"/>
      <c r="M4" s="242"/>
      <c r="N4" s="242"/>
      <c r="O4" s="242"/>
      <c r="P4" s="242"/>
      <c r="Q4" s="242"/>
      <c r="R4" s="261"/>
    </row>
    <row r="5" spans="1:22" s="141" customFormat="1" ht="51" customHeight="1">
      <c r="A5" s="245"/>
      <c r="B5" s="282" t="s">
        <v>1</v>
      </c>
      <c r="C5" s="282" t="s">
        <v>2</v>
      </c>
      <c r="D5" s="282"/>
      <c r="E5" s="282" t="s">
        <v>121</v>
      </c>
      <c r="F5" s="282"/>
      <c r="G5" s="282" t="s">
        <v>122</v>
      </c>
      <c r="H5" s="283" t="s">
        <v>39</v>
      </c>
      <c r="I5" s="304"/>
      <c r="J5" s="305" t="s">
        <v>123</v>
      </c>
      <c r="K5" s="306" t="s">
        <v>5</v>
      </c>
      <c r="L5" s="282" t="s">
        <v>41</v>
      </c>
      <c r="M5" s="307" t="s">
        <v>42</v>
      </c>
      <c r="N5" s="282" t="s">
        <v>43</v>
      </c>
      <c r="O5" s="282" t="s">
        <v>44</v>
      </c>
      <c r="P5" s="282" t="s">
        <v>45</v>
      </c>
      <c r="Q5" s="282" t="s">
        <v>4</v>
      </c>
      <c r="R5" s="330" t="s">
        <v>81</v>
      </c>
      <c r="U5" s="282" t="s">
        <v>46</v>
      </c>
      <c r="V5" s="331" t="s">
        <v>47</v>
      </c>
    </row>
    <row r="6" spans="1:22">
      <c r="A6" s="241"/>
      <c r="B6" s="184"/>
      <c r="C6" s="184" t="s">
        <v>86</v>
      </c>
      <c r="D6" s="184"/>
      <c r="E6" s="187">
        <f>SUM(E7:E37)</f>
        <v>420000</v>
      </c>
      <c r="F6" s="254">
        <f>SUM(F7:F37)</f>
        <v>378000</v>
      </c>
      <c r="G6" s="187">
        <f>SUM(H6+L6)</f>
        <v>419963</v>
      </c>
      <c r="H6" s="187">
        <f>SUM(H7:H37)</f>
        <v>377963</v>
      </c>
      <c r="I6" s="254"/>
      <c r="J6" s="188">
        <f>SUM(J28+J38)</f>
        <v>0</v>
      </c>
      <c r="K6" s="190"/>
      <c r="L6" s="184">
        <f>SUM(L7:L38)</f>
        <v>42000</v>
      </c>
      <c r="M6" s="218">
        <f>SUM(M7:M38)</f>
        <v>1</v>
      </c>
      <c r="N6" s="184">
        <f>SUM(N7:N37)</f>
        <v>24330</v>
      </c>
      <c r="O6" s="184"/>
      <c r="P6" s="184"/>
      <c r="Q6" s="184"/>
      <c r="R6" s="184"/>
      <c r="S6" s="8"/>
      <c r="T6" s="8"/>
      <c r="U6" s="332">
        <f>SUM(U7:U38)</f>
        <v>15344.96</v>
      </c>
      <c r="V6" s="216"/>
    </row>
    <row r="7" spans="1:22" s="1" customFormat="1">
      <c r="A7" s="236"/>
      <c r="B7" s="216">
        <v>1</v>
      </c>
      <c r="C7" s="216" t="s">
        <v>87</v>
      </c>
      <c r="D7" s="216"/>
      <c r="E7" s="187">
        <f>F7+L7</f>
        <v>2373</v>
      </c>
      <c r="F7" s="256">
        <f>H7*(1-0.195)</f>
        <v>2373</v>
      </c>
      <c r="G7" s="187">
        <f>SUM(H7+L7)</f>
        <v>2948</v>
      </c>
      <c r="H7" s="284">
        <f>(42-4.2)*10000*M7</f>
        <v>2948</v>
      </c>
      <c r="I7" s="256" t="e">
        <f>J7*(1-0.14)</f>
        <v>#REF!</v>
      </c>
      <c r="J7" s="257" t="e">
        <f>37.8*S7*0.6*10000</f>
        <v>#REF!</v>
      </c>
      <c r="K7" s="308" t="s">
        <v>50</v>
      </c>
      <c r="L7" s="216"/>
      <c r="M7" s="217">
        <f>U7/15344.96</f>
        <v>7.7999999999999996E-3</v>
      </c>
      <c r="N7" s="216">
        <v>140</v>
      </c>
      <c r="O7" s="216">
        <v>1</v>
      </c>
      <c r="P7" s="214">
        <v>1</v>
      </c>
      <c r="Q7" s="214">
        <v>0.85</v>
      </c>
      <c r="R7" s="83" t="s">
        <v>82</v>
      </c>
      <c r="S7" s="333" t="e">
        <f>T7/6679</f>
        <v>#REF!</v>
      </c>
      <c r="T7" s="334" t="e">
        <f>N7*P7*#REF!</f>
        <v>#REF!</v>
      </c>
      <c r="U7" s="192">
        <f>N7*O7*P7*Q7</f>
        <v>119</v>
      </c>
      <c r="V7" s="214">
        <v>0.65</v>
      </c>
    </row>
    <row r="8" spans="1:22" s="1" customFormat="1">
      <c r="A8" s="236"/>
      <c r="B8" s="285">
        <v>2</v>
      </c>
      <c r="C8" s="285" t="s">
        <v>88</v>
      </c>
      <c r="D8" s="285"/>
      <c r="E8" s="187">
        <f t="shared" ref="E8:E38" si="0">F8+L8</f>
        <v>2099</v>
      </c>
      <c r="F8" s="256">
        <f t="shared" ref="F8:F11" si="1">H8*(1-0.195)</f>
        <v>2099</v>
      </c>
      <c r="G8" s="187">
        <f t="shared" ref="G8:G37" si="2">SUM(H8+L8)</f>
        <v>2608</v>
      </c>
      <c r="H8" s="286">
        <f t="shared" ref="H8:H37" si="3">(42-4.2)*10000*M8</f>
        <v>2608</v>
      </c>
      <c r="I8" s="309" t="e">
        <f t="shared" ref="I8:I11" si="4">J8*(1-0.14)</f>
        <v>#REF!</v>
      </c>
      <c r="J8" s="310" t="e">
        <f>37.8*S8*0.6*10000+68</f>
        <v>#REF!</v>
      </c>
      <c r="K8" s="311" t="s">
        <v>50</v>
      </c>
      <c r="L8" s="285"/>
      <c r="M8" s="312">
        <f t="shared" ref="M8:M37" si="5">U8/15344.96</f>
        <v>6.8999999999999999E-3</v>
      </c>
      <c r="N8" s="285">
        <v>125</v>
      </c>
      <c r="O8" s="285">
        <v>1</v>
      </c>
      <c r="P8" s="313">
        <v>1</v>
      </c>
      <c r="Q8" s="313">
        <v>0.85</v>
      </c>
      <c r="R8" s="335" t="s">
        <v>82</v>
      </c>
      <c r="S8" s="273" t="e">
        <f t="shared" ref="S8:S25" si="6">T8/6679</f>
        <v>#REF!</v>
      </c>
      <c r="T8" s="274" t="e">
        <f>N8*P8*#REF!</f>
        <v>#REF!</v>
      </c>
      <c r="U8" s="336">
        <f t="shared" ref="U8:U17" si="7">N8*O8*P8*Q8</f>
        <v>106.25</v>
      </c>
      <c r="V8" s="313">
        <v>0.65</v>
      </c>
    </row>
    <row r="9" spans="1:22" s="4" customFormat="1">
      <c r="A9" s="287"/>
      <c r="B9" s="288">
        <v>3</v>
      </c>
      <c r="C9" s="289" t="s">
        <v>89</v>
      </c>
      <c r="D9" s="289"/>
      <c r="E9" s="187">
        <f t="shared" si="0"/>
        <v>39589</v>
      </c>
      <c r="F9" s="256">
        <f t="shared" si="1"/>
        <v>35389</v>
      </c>
      <c r="G9" s="290">
        <f t="shared" si="2"/>
        <v>48161</v>
      </c>
      <c r="H9" s="291">
        <f t="shared" si="3"/>
        <v>43961</v>
      </c>
      <c r="I9" s="314" t="e">
        <f t="shared" si="4"/>
        <v>#REF!</v>
      </c>
      <c r="J9" s="315" t="e">
        <f>37.8*S9*0.6*10000</f>
        <v>#REF!</v>
      </c>
      <c r="K9" s="292">
        <v>12199</v>
      </c>
      <c r="L9" s="289">
        <v>4200</v>
      </c>
      <c r="M9" s="316">
        <f t="shared" si="5"/>
        <v>0.1163</v>
      </c>
      <c r="N9" s="289">
        <v>2000</v>
      </c>
      <c r="O9" s="289">
        <v>1</v>
      </c>
      <c r="P9" s="289">
        <v>1.05</v>
      </c>
      <c r="Q9" s="324">
        <v>0.85</v>
      </c>
      <c r="R9" s="337" t="s">
        <v>82</v>
      </c>
      <c r="S9" s="160" t="e">
        <f t="shared" si="6"/>
        <v>#REF!</v>
      </c>
      <c r="T9" s="161" t="e">
        <f>N9*P9*#REF!</f>
        <v>#REF!</v>
      </c>
      <c r="U9" s="338">
        <f t="shared" si="7"/>
        <v>1785</v>
      </c>
      <c r="V9" s="219">
        <v>0.65</v>
      </c>
    </row>
    <row r="10" spans="1:22" s="1" customFormat="1">
      <c r="A10" s="236"/>
      <c r="B10" s="285">
        <v>4</v>
      </c>
      <c r="C10" s="216" t="s">
        <v>90</v>
      </c>
      <c r="D10" s="216"/>
      <c r="E10" s="187">
        <f t="shared" si="0"/>
        <v>1674</v>
      </c>
      <c r="F10" s="256">
        <f t="shared" si="1"/>
        <v>1674</v>
      </c>
      <c r="G10" s="187">
        <f t="shared" si="2"/>
        <v>2079</v>
      </c>
      <c r="H10" s="286">
        <f t="shared" si="3"/>
        <v>2079</v>
      </c>
      <c r="I10" s="256" t="e">
        <f t="shared" si="4"/>
        <v>#REF!</v>
      </c>
      <c r="J10" s="257" t="e">
        <f t="shared" ref="J10:J14" si="8">37.8*S10*0.6*10000</f>
        <v>#REF!</v>
      </c>
      <c r="K10" s="308" t="s">
        <v>50</v>
      </c>
      <c r="L10" s="216"/>
      <c r="M10" s="312">
        <f t="shared" si="5"/>
        <v>5.4999999999999997E-3</v>
      </c>
      <c r="N10" s="216">
        <v>100</v>
      </c>
      <c r="O10" s="216">
        <v>1</v>
      </c>
      <c r="P10" s="214">
        <v>1</v>
      </c>
      <c r="Q10" s="313">
        <v>0.85</v>
      </c>
      <c r="R10" s="272" t="s">
        <v>82</v>
      </c>
      <c r="S10" s="273" t="e">
        <f t="shared" si="6"/>
        <v>#REF!</v>
      </c>
      <c r="T10" s="274" t="e">
        <f>N10*P10*#REF!</f>
        <v>#REF!</v>
      </c>
      <c r="U10" s="336">
        <f t="shared" si="7"/>
        <v>85</v>
      </c>
      <c r="V10" s="214">
        <v>0.65</v>
      </c>
    </row>
    <row r="11" spans="1:22" s="1" customFormat="1">
      <c r="A11" s="236"/>
      <c r="B11" s="285">
        <v>5</v>
      </c>
      <c r="C11" s="216" t="s">
        <v>91</v>
      </c>
      <c r="D11" s="216"/>
      <c r="E11" s="187">
        <f t="shared" si="0"/>
        <v>20693</v>
      </c>
      <c r="F11" s="256">
        <f t="shared" si="1"/>
        <v>16493</v>
      </c>
      <c r="G11" s="187" t="e">
        <f>SUM(H11+#REF!)</f>
        <v>#REF!</v>
      </c>
      <c r="H11" s="286">
        <f t="shared" si="3"/>
        <v>20488</v>
      </c>
      <c r="I11" s="256" t="e">
        <f t="shared" si="4"/>
        <v>#REF!</v>
      </c>
      <c r="J11" s="257" t="e">
        <f t="shared" si="8"/>
        <v>#REF!</v>
      </c>
      <c r="K11" s="296">
        <v>7481</v>
      </c>
      <c r="L11" s="289">
        <v>4200</v>
      </c>
      <c r="M11" s="312">
        <f t="shared" si="5"/>
        <v>5.4199999999999998E-2</v>
      </c>
      <c r="N11" s="216">
        <v>950</v>
      </c>
      <c r="O11" s="216">
        <v>1</v>
      </c>
      <c r="P11" s="216">
        <v>1.03</v>
      </c>
      <c r="Q11" s="313">
        <v>0.85</v>
      </c>
      <c r="R11" s="272" t="s">
        <v>83</v>
      </c>
      <c r="S11" s="273" t="e">
        <f t="shared" si="6"/>
        <v>#REF!</v>
      </c>
      <c r="T11" s="274" t="e">
        <f>N11*P11*#REF!</f>
        <v>#REF!</v>
      </c>
      <c r="U11" s="336">
        <f t="shared" si="7"/>
        <v>831.72500000000002</v>
      </c>
      <c r="V11" s="214">
        <v>0.5</v>
      </c>
    </row>
    <row r="12" spans="1:22" s="4" customFormat="1">
      <c r="A12" s="287"/>
      <c r="B12" s="288">
        <v>6</v>
      </c>
      <c r="C12" s="289" t="s">
        <v>116</v>
      </c>
      <c r="D12" s="289"/>
      <c r="E12" s="292">
        <v>36490</v>
      </c>
      <c r="F12" s="292">
        <v>36490</v>
      </c>
      <c r="G12" s="293">
        <f>SUM(H12+L11)</f>
        <v>21286</v>
      </c>
      <c r="H12" s="291">
        <f t="shared" si="3"/>
        <v>17086</v>
      </c>
      <c r="I12" s="314">
        <v>36490</v>
      </c>
      <c r="J12" s="315" t="e">
        <f t="shared" si="8"/>
        <v>#REF!</v>
      </c>
      <c r="K12" s="292">
        <v>36490</v>
      </c>
      <c r="M12" s="316">
        <f t="shared" si="5"/>
        <v>4.5199999999999997E-2</v>
      </c>
      <c r="N12" s="289">
        <v>800</v>
      </c>
      <c r="O12" s="289">
        <v>1</v>
      </c>
      <c r="P12" s="289">
        <v>1.02</v>
      </c>
      <c r="Q12" s="324">
        <v>0.85</v>
      </c>
      <c r="R12" s="337" t="s">
        <v>83</v>
      </c>
      <c r="S12" s="160" t="e">
        <f t="shared" si="6"/>
        <v>#REF!</v>
      </c>
      <c r="T12" s="161" t="e">
        <f>N12*P12*#REF!</f>
        <v>#REF!</v>
      </c>
      <c r="U12" s="338">
        <f t="shared" si="7"/>
        <v>693.6</v>
      </c>
      <c r="V12" s="219">
        <v>0.5</v>
      </c>
    </row>
    <row r="13" spans="1:22" s="1" customFormat="1">
      <c r="A13" s="236"/>
      <c r="B13" s="285">
        <v>7</v>
      </c>
      <c r="C13" s="216" t="s">
        <v>93</v>
      </c>
      <c r="D13" s="216"/>
      <c r="E13" s="187">
        <f t="shared" si="0"/>
        <v>18531</v>
      </c>
      <c r="F13" s="256">
        <f>H13*(1-0.195)</f>
        <v>18531</v>
      </c>
      <c r="G13" s="187">
        <f t="shared" si="2"/>
        <v>23020</v>
      </c>
      <c r="H13" s="286">
        <f t="shared" si="3"/>
        <v>23020</v>
      </c>
      <c r="I13" s="256" t="e">
        <f>J13*(1-0.14)</f>
        <v>#REF!</v>
      </c>
      <c r="J13" s="257" t="e">
        <f t="shared" si="8"/>
        <v>#REF!</v>
      </c>
      <c r="K13" s="296">
        <v>11885</v>
      </c>
      <c r="L13" s="216"/>
      <c r="M13" s="312">
        <f t="shared" si="5"/>
        <v>6.0900000000000003E-2</v>
      </c>
      <c r="N13" s="216">
        <v>1000</v>
      </c>
      <c r="O13" s="216">
        <v>1</v>
      </c>
      <c r="P13" s="216">
        <v>1.1000000000000001</v>
      </c>
      <c r="Q13" s="313">
        <v>0.85</v>
      </c>
      <c r="R13" s="272" t="s">
        <v>83</v>
      </c>
      <c r="S13" s="273" t="e">
        <f t="shared" si="6"/>
        <v>#REF!</v>
      </c>
      <c r="T13" s="274" t="e">
        <f>N13*P13*#REF!</f>
        <v>#REF!</v>
      </c>
      <c r="U13" s="336">
        <f t="shared" si="7"/>
        <v>935</v>
      </c>
      <c r="V13" s="214">
        <v>0.5</v>
      </c>
    </row>
    <row r="14" spans="1:22" s="4" customFormat="1">
      <c r="A14" s="287"/>
      <c r="B14" s="288">
        <v>8</v>
      </c>
      <c r="C14" s="289" t="s">
        <v>94</v>
      </c>
      <c r="D14" s="289"/>
      <c r="E14" s="187">
        <f t="shared" si="0"/>
        <v>64875</v>
      </c>
      <c r="F14" s="256">
        <f t="shared" ref="F14:F16" si="9">H14*(1-0.195)</f>
        <v>60675</v>
      </c>
      <c r="G14" s="290">
        <f t="shared" si="2"/>
        <v>79573</v>
      </c>
      <c r="H14" s="291">
        <f t="shared" si="3"/>
        <v>75373</v>
      </c>
      <c r="I14" s="314" t="e">
        <f t="shared" ref="I14:I24" si="10">J14*(1-0.14)</f>
        <v>#REF!</v>
      </c>
      <c r="J14" s="315" t="e">
        <f t="shared" si="8"/>
        <v>#REF!</v>
      </c>
      <c r="K14" s="292">
        <v>21397</v>
      </c>
      <c r="L14" s="289">
        <v>4200</v>
      </c>
      <c r="M14" s="316">
        <f t="shared" si="5"/>
        <v>0.19939999999999999</v>
      </c>
      <c r="N14" s="289">
        <v>3000</v>
      </c>
      <c r="O14" s="289">
        <v>1</v>
      </c>
      <c r="P14" s="289">
        <v>1.2</v>
      </c>
      <c r="Q14" s="324">
        <v>0.85</v>
      </c>
      <c r="R14" s="337" t="s">
        <v>83</v>
      </c>
      <c r="S14" s="160" t="e">
        <f t="shared" si="6"/>
        <v>#REF!</v>
      </c>
      <c r="T14" s="161" t="e">
        <f>N14*P14*#REF!</f>
        <v>#REF!</v>
      </c>
      <c r="U14" s="338">
        <f t="shared" si="7"/>
        <v>3060</v>
      </c>
      <c r="V14" s="219">
        <v>0.5</v>
      </c>
    </row>
    <row r="15" spans="1:22" s="4" customFormat="1">
      <c r="A15" s="287"/>
      <c r="B15" s="288">
        <v>9</v>
      </c>
      <c r="C15" s="289" t="s">
        <v>95</v>
      </c>
      <c r="D15" s="289"/>
      <c r="E15" s="187">
        <f t="shared" si="0"/>
        <v>14729</v>
      </c>
      <c r="F15" s="256">
        <f t="shared" si="9"/>
        <v>10529</v>
      </c>
      <c r="G15" s="290">
        <f t="shared" si="2"/>
        <v>17279</v>
      </c>
      <c r="H15" s="291">
        <f t="shared" si="3"/>
        <v>13079</v>
      </c>
      <c r="I15" s="314" t="e">
        <f t="shared" si="10"/>
        <v>#REF!</v>
      </c>
      <c r="J15" s="315" t="e">
        <f>37.8*S15*0.4*10000</f>
        <v>#REF!</v>
      </c>
      <c r="K15" s="317" t="s">
        <v>50</v>
      </c>
      <c r="L15" s="289">
        <v>4200</v>
      </c>
      <c r="M15" s="316">
        <f t="shared" si="5"/>
        <v>3.4599999999999999E-2</v>
      </c>
      <c r="N15" s="289">
        <v>600</v>
      </c>
      <c r="O15" s="289">
        <v>1</v>
      </c>
      <c r="P15" s="219">
        <v>1.04</v>
      </c>
      <c r="Q15" s="324">
        <v>0.85</v>
      </c>
      <c r="R15" s="337" t="s">
        <v>82</v>
      </c>
      <c r="S15" s="160" t="e">
        <f>T15/7189</f>
        <v>#REF!</v>
      </c>
      <c r="T15" s="161" t="e">
        <f>N15*P15*#REF!</f>
        <v>#REF!</v>
      </c>
      <c r="U15" s="338">
        <f t="shared" si="7"/>
        <v>530.4</v>
      </c>
      <c r="V15" s="219">
        <v>0.65</v>
      </c>
    </row>
    <row r="16" spans="1:22" s="1" customFormat="1">
      <c r="A16" s="236"/>
      <c r="B16" s="285">
        <v>10</v>
      </c>
      <c r="C16" s="216" t="s">
        <v>96</v>
      </c>
      <c r="D16" s="216"/>
      <c r="E16" s="187">
        <f t="shared" si="0"/>
        <v>13754</v>
      </c>
      <c r="F16" s="256">
        <f t="shared" si="9"/>
        <v>13754</v>
      </c>
      <c r="G16" s="187">
        <f t="shared" si="2"/>
        <v>17086</v>
      </c>
      <c r="H16" s="286">
        <f t="shared" si="3"/>
        <v>17086</v>
      </c>
      <c r="I16" s="256" t="e">
        <f t="shared" si="10"/>
        <v>#REF!</v>
      </c>
      <c r="J16" s="257" t="e">
        <f>37.8*S16*0.4*10000</f>
        <v>#REF!</v>
      </c>
      <c r="K16" s="308" t="s">
        <v>50</v>
      </c>
      <c r="L16" s="216"/>
      <c r="M16" s="312">
        <f t="shared" si="5"/>
        <v>4.5199999999999997E-2</v>
      </c>
      <c r="N16" s="216">
        <v>800</v>
      </c>
      <c r="O16" s="216">
        <v>1</v>
      </c>
      <c r="P16" s="214">
        <v>1.02</v>
      </c>
      <c r="Q16" s="313">
        <v>0.85</v>
      </c>
      <c r="R16" s="272" t="s">
        <v>82</v>
      </c>
      <c r="S16" s="273" t="e">
        <f>T16/7189</f>
        <v>#REF!</v>
      </c>
      <c r="T16" s="274" t="e">
        <f>N16*P16*#REF!</f>
        <v>#REF!</v>
      </c>
      <c r="U16" s="336">
        <f t="shared" si="7"/>
        <v>693.6</v>
      </c>
      <c r="V16" s="214">
        <v>0.65</v>
      </c>
    </row>
    <row r="17" spans="1:22" s="4" customFormat="1">
      <c r="A17" s="287"/>
      <c r="B17" s="288">
        <v>11</v>
      </c>
      <c r="C17" s="289" t="s">
        <v>97</v>
      </c>
      <c r="D17" s="289"/>
      <c r="E17" s="187">
        <f t="shared" si="0"/>
        <v>6199</v>
      </c>
      <c r="F17" s="256">
        <f>H17*(1-0.195)+447</f>
        <v>1999</v>
      </c>
      <c r="G17" s="290">
        <f t="shared" si="2"/>
        <v>6128</v>
      </c>
      <c r="H17" s="291">
        <f t="shared" si="3"/>
        <v>1928</v>
      </c>
      <c r="I17" s="314" t="e">
        <f t="shared" si="10"/>
        <v>#REF!</v>
      </c>
      <c r="J17" s="315" t="e">
        <f>37.8*S17*0.4*10000</f>
        <v>#REF!</v>
      </c>
      <c r="K17" s="292">
        <v>25</v>
      </c>
      <c r="L17" s="289">
        <v>4200</v>
      </c>
      <c r="M17" s="316">
        <f t="shared" si="5"/>
        <v>5.1000000000000004E-3</v>
      </c>
      <c r="N17" s="289">
        <v>90</v>
      </c>
      <c r="O17" s="289">
        <v>1</v>
      </c>
      <c r="P17" s="219">
        <v>1.03</v>
      </c>
      <c r="Q17" s="324">
        <v>0.85</v>
      </c>
      <c r="R17" s="337" t="s">
        <v>82</v>
      </c>
      <c r="S17" s="160" t="e">
        <f>T17/7189</f>
        <v>#REF!</v>
      </c>
      <c r="T17" s="161" t="e">
        <f>N17*P17*#REF!</f>
        <v>#REF!</v>
      </c>
      <c r="U17" s="338">
        <f t="shared" si="7"/>
        <v>78.795000000000002</v>
      </c>
      <c r="V17" s="219">
        <v>0.65</v>
      </c>
    </row>
    <row r="18" spans="1:22" s="64" customFormat="1">
      <c r="B18" s="294" t="s">
        <v>124</v>
      </c>
      <c r="C18" s="295"/>
      <c r="D18" s="295"/>
      <c r="E18" s="187">
        <f t="shared" si="0"/>
        <v>0</v>
      </c>
      <c r="F18" s="256">
        <f t="shared" ref="F18" si="11">H18*(1-0.19)</f>
        <v>0</v>
      </c>
      <c r="G18" s="187"/>
      <c r="H18" s="286"/>
      <c r="I18" s="318"/>
      <c r="J18" s="319"/>
      <c r="K18" s="319"/>
      <c r="L18" s="295"/>
      <c r="M18" s="312"/>
      <c r="N18" s="295"/>
      <c r="O18" s="295"/>
      <c r="P18" s="320"/>
      <c r="Q18" s="320"/>
      <c r="R18" s="339"/>
      <c r="S18" s="340"/>
      <c r="T18" s="341"/>
      <c r="U18" s="233"/>
      <c r="V18" s="320"/>
    </row>
    <row r="19" spans="1:22" s="4" customFormat="1">
      <c r="A19" s="287"/>
      <c r="B19" s="288">
        <v>12</v>
      </c>
      <c r="C19" s="288" t="s">
        <v>98</v>
      </c>
      <c r="D19" s="288"/>
      <c r="E19" s="187">
        <f t="shared" si="0"/>
        <v>10255</v>
      </c>
      <c r="F19" s="256">
        <f>H19*(1-0.195)</f>
        <v>6055</v>
      </c>
      <c r="G19" s="290">
        <f t="shared" si="2"/>
        <v>11722</v>
      </c>
      <c r="H19" s="291">
        <f t="shared" si="3"/>
        <v>7522</v>
      </c>
      <c r="I19" s="321" t="e">
        <f>J19*(1-0.14)</f>
        <v>#REF!</v>
      </c>
      <c r="J19" s="322" t="e">
        <f>37.8*S19*0.4*10000</f>
        <v>#REF!</v>
      </c>
      <c r="K19" s="323">
        <v>5890</v>
      </c>
      <c r="L19" s="288">
        <v>4200</v>
      </c>
      <c r="M19" s="316">
        <f t="shared" si="5"/>
        <v>1.9900000000000001E-2</v>
      </c>
      <c r="N19" s="288">
        <v>600</v>
      </c>
      <c r="O19" s="288">
        <v>1</v>
      </c>
      <c r="P19" s="324">
        <v>1.02</v>
      </c>
      <c r="Q19" s="324">
        <v>0.5</v>
      </c>
      <c r="R19" s="342" t="s">
        <v>83</v>
      </c>
      <c r="S19" s="160" t="e">
        <f>T19/7189</f>
        <v>#REF!</v>
      </c>
      <c r="T19" s="161" t="e">
        <f>N19*P19*#REF!</f>
        <v>#REF!</v>
      </c>
      <c r="U19" s="338">
        <f t="shared" ref="U19:U27" si="12">N19*O19*P19*Q19</f>
        <v>306</v>
      </c>
      <c r="V19" s="324">
        <v>0.65</v>
      </c>
    </row>
    <row r="20" spans="1:22" s="1" customFormat="1">
      <c r="A20" s="236"/>
      <c r="B20" s="285">
        <v>13</v>
      </c>
      <c r="C20" s="216" t="s">
        <v>92</v>
      </c>
      <c r="D20" s="216"/>
      <c r="E20" s="187">
        <f t="shared" si="0"/>
        <v>29395</v>
      </c>
      <c r="F20" s="256">
        <f t="shared" ref="F20:F22" si="13">H20*(1-0.195)</f>
        <v>29395</v>
      </c>
      <c r="G20" s="187">
        <f t="shared" si="2"/>
        <v>36515</v>
      </c>
      <c r="H20" s="286">
        <f t="shared" si="3"/>
        <v>36515</v>
      </c>
      <c r="I20" s="256" t="e">
        <f>J20*(1-0.14)</f>
        <v>#REF!</v>
      </c>
      <c r="J20" s="257" t="e">
        <f>37.8*S20*0.4*10000</f>
        <v>#REF!</v>
      </c>
      <c r="K20" s="308" t="s">
        <v>50</v>
      </c>
      <c r="L20" s="216"/>
      <c r="M20" s="312">
        <f t="shared" si="5"/>
        <v>9.6600000000000005E-2</v>
      </c>
      <c r="N20" s="216">
        <v>2600</v>
      </c>
      <c r="O20" s="216">
        <v>1</v>
      </c>
      <c r="P20" s="214">
        <v>1.1399999999999999</v>
      </c>
      <c r="Q20" s="313">
        <v>0.5</v>
      </c>
      <c r="R20" s="272" t="s">
        <v>82</v>
      </c>
      <c r="S20" s="273" t="e">
        <f>T20/7189</f>
        <v>#REF!</v>
      </c>
      <c r="T20" s="274" t="e">
        <f>N20*P20*#REF!</f>
        <v>#REF!</v>
      </c>
      <c r="U20" s="336">
        <f t="shared" si="12"/>
        <v>1482</v>
      </c>
      <c r="V20" s="214">
        <v>0.65</v>
      </c>
    </row>
    <row r="21" spans="1:22" s="1" customFormat="1">
      <c r="A21" s="236"/>
      <c r="B21" s="285">
        <v>14</v>
      </c>
      <c r="C21" s="216" t="s">
        <v>99</v>
      </c>
      <c r="D21" s="216"/>
      <c r="E21" s="187">
        <f t="shared" si="0"/>
        <v>21209</v>
      </c>
      <c r="F21" s="256">
        <f t="shared" si="13"/>
        <v>21209</v>
      </c>
      <c r="G21" s="187">
        <f t="shared" si="2"/>
        <v>26347</v>
      </c>
      <c r="H21" s="286">
        <f t="shared" si="3"/>
        <v>26347</v>
      </c>
      <c r="I21" s="256" t="e">
        <f>J21*(1-0.14)</f>
        <v>#REF!</v>
      </c>
      <c r="J21" s="257" t="e">
        <f>37.8*S21*0.4*10000</f>
        <v>#REF!</v>
      </c>
      <c r="K21" s="296">
        <v>7167</v>
      </c>
      <c r="L21" s="216"/>
      <c r="M21" s="312">
        <f t="shared" si="5"/>
        <v>6.9699999999999998E-2</v>
      </c>
      <c r="N21" s="216">
        <v>2000</v>
      </c>
      <c r="O21" s="216">
        <v>1</v>
      </c>
      <c r="P21" s="214">
        <v>1.07</v>
      </c>
      <c r="Q21" s="313">
        <v>0.5</v>
      </c>
      <c r="R21" s="272" t="s">
        <v>83</v>
      </c>
      <c r="S21" s="273" t="e">
        <f>T21/7189</f>
        <v>#REF!</v>
      </c>
      <c r="T21" s="274" t="e">
        <f>N21*P21*#REF!</f>
        <v>#REF!</v>
      </c>
      <c r="U21" s="336">
        <f t="shared" si="12"/>
        <v>1070</v>
      </c>
      <c r="V21" s="214">
        <v>0.5</v>
      </c>
    </row>
    <row r="22" spans="1:22" s="64" customFormat="1">
      <c r="A22" s="236"/>
      <c r="B22" s="285">
        <v>15</v>
      </c>
      <c r="C22" s="216" t="s">
        <v>100</v>
      </c>
      <c r="D22" s="216"/>
      <c r="E22" s="187">
        <f t="shared" si="0"/>
        <v>5964</v>
      </c>
      <c r="F22" s="256">
        <f t="shared" si="13"/>
        <v>5964</v>
      </c>
      <c r="G22" s="187">
        <f t="shared" si="2"/>
        <v>7409</v>
      </c>
      <c r="H22" s="286">
        <f t="shared" si="3"/>
        <v>7409</v>
      </c>
      <c r="I22" s="256" t="e">
        <f>J22*(1-0.14)</f>
        <v>#REF!</v>
      </c>
      <c r="J22" s="257" t="e">
        <f>37.8*S31*0.4*10000</f>
        <v>#REF!</v>
      </c>
      <c r="K22" s="296">
        <v>985</v>
      </c>
      <c r="L22" s="216"/>
      <c r="M22" s="312">
        <f t="shared" si="5"/>
        <v>1.9599999999999999E-2</v>
      </c>
      <c r="N22" s="216">
        <v>600</v>
      </c>
      <c r="O22" s="216">
        <v>1</v>
      </c>
      <c r="P22" s="214">
        <v>1</v>
      </c>
      <c r="Q22" s="313">
        <v>0.5</v>
      </c>
      <c r="R22" s="272" t="s">
        <v>84</v>
      </c>
      <c r="S22" s="340" t="e">
        <f t="shared" si="6"/>
        <v>#REF!</v>
      </c>
      <c r="T22" s="341" t="e">
        <f>N23*P23*#REF!</f>
        <v>#REF!</v>
      </c>
      <c r="U22" s="336">
        <f t="shared" si="12"/>
        <v>300</v>
      </c>
      <c r="V22" s="214">
        <v>0.5</v>
      </c>
    </row>
    <row r="23" spans="1:22" s="4" customFormat="1">
      <c r="A23" s="287"/>
      <c r="B23" s="288">
        <v>16</v>
      </c>
      <c r="C23" s="289" t="s">
        <v>117</v>
      </c>
      <c r="D23" s="289"/>
      <c r="E23" s="187">
        <f t="shared" si="0"/>
        <v>13950</v>
      </c>
      <c r="F23" s="292">
        <v>9750</v>
      </c>
      <c r="G23" s="293">
        <f t="shared" si="2"/>
        <v>9265</v>
      </c>
      <c r="H23" s="291">
        <f t="shared" si="3"/>
        <v>5065</v>
      </c>
      <c r="I23" s="314" t="e">
        <f t="shared" si="10"/>
        <v>#REF!</v>
      </c>
      <c r="J23" s="315" t="e">
        <f>37.8*S22*0.6*10000</f>
        <v>#REF!</v>
      </c>
      <c r="K23" s="292">
        <v>9750</v>
      </c>
      <c r="L23" s="289">
        <v>4200</v>
      </c>
      <c r="M23" s="316">
        <f t="shared" si="5"/>
        <v>1.34E-2</v>
      </c>
      <c r="N23" s="289">
        <v>400</v>
      </c>
      <c r="O23" s="289">
        <v>1</v>
      </c>
      <c r="P23" s="289">
        <v>1.03</v>
      </c>
      <c r="Q23" s="324">
        <v>0.5</v>
      </c>
      <c r="R23" s="337" t="s">
        <v>84</v>
      </c>
      <c r="S23" s="160" t="e">
        <f t="shared" si="6"/>
        <v>#REF!</v>
      </c>
      <c r="T23" s="161" t="e">
        <f>N24*P24*#REF!</f>
        <v>#REF!</v>
      </c>
      <c r="U23" s="338">
        <f t="shared" si="12"/>
        <v>206</v>
      </c>
      <c r="V23" s="219">
        <v>0.5</v>
      </c>
    </row>
    <row r="24" spans="1:22" s="4" customFormat="1">
      <c r="A24" s="287"/>
      <c r="B24" s="288">
        <v>17</v>
      </c>
      <c r="C24" s="289" t="s">
        <v>102</v>
      </c>
      <c r="D24" s="289"/>
      <c r="E24" s="187">
        <f t="shared" si="0"/>
        <v>22944</v>
      </c>
      <c r="F24" s="256">
        <f>H24*(1-0.195)</f>
        <v>18744</v>
      </c>
      <c r="G24" s="290">
        <f t="shared" si="2"/>
        <v>27485</v>
      </c>
      <c r="H24" s="291">
        <f t="shared" si="3"/>
        <v>23285</v>
      </c>
      <c r="I24" s="314" t="e">
        <f t="shared" si="10"/>
        <v>#REF!</v>
      </c>
      <c r="J24" s="315" t="e">
        <f>37.8*S23*0.6*10000</f>
        <v>#REF!</v>
      </c>
      <c r="K24" s="292">
        <v>50</v>
      </c>
      <c r="L24" s="289">
        <v>4200</v>
      </c>
      <c r="M24" s="316">
        <f t="shared" si="5"/>
        <v>6.1600000000000002E-2</v>
      </c>
      <c r="N24" s="289">
        <v>1800</v>
      </c>
      <c r="O24" s="289">
        <v>1</v>
      </c>
      <c r="P24" s="289">
        <v>1.05</v>
      </c>
      <c r="Q24" s="324">
        <v>0.5</v>
      </c>
      <c r="R24" s="337" t="s">
        <v>84</v>
      </c>
      <c r="S24" s="160" t="e">
        <f t="shared" si="6"/>
        <v>#REF!</v>
      </c>
      <c r="T24" s="161" t="e">
        <f>N25*P25*#REF!</f>
        <v>#REF!</v>
      </c>
      <c r="U24" s="338">
        <f t="shared" si="12"/>
        <v>945</v>
      </c>
      <c r="V24" s="219">
        <v>0.5</v>
      </c>
    </row>
    <row r="25" spans="1:22" s="1" customFormat="1">
      <c r="A25" s="236"/>
      <c r="B25" s="285">
        <v>18</v>
      </c>
      <c r="C25" s="216" t="s">
        <v>118</v>
      </c>
      <c r="D25" s="216"/>
      <c r="E25" s="187">
        <f t="shared" si="0"/>
        <v>13234</v>
      </c>
      <c r="F25" s="296">
        <v>13234</v>
      </c>
      <c r="G25" s="293">
        <f t="shared" si="2"/>
        <v>7749</v>
      </c>
      <c r="H25" s="286">
        <f t="shared" si="3"/>
        <v>7749</v>
      </c>
      <c r="I25" s="256">
        <f>13234</f>
        <v>13234</v>
      </c>
      <c r="J25" s="257" t="e">
        <f>37.8*S24*0.6*10000</f>
        <v>#REF!</v>
      </c>
      <c r="K25" s="296">
        <v>13234</v>
      </c>
      <c r="L25" s="216"/>
      <c r="M25" s="312">
        <f t="shared" si="5"/>
        <v>2.0500000000000001E-2</v>
      </c>
      <c r="N25" s="216">
        <v>600</v>
      </c>
      <c r="O25" s="216">
        <v>1</v>
      </c>
      <c r="P25" s="216">
        <v>1.05</v>
      </c>
      <c r="Q25" s="313">
        <v>0.5</v>
      </c>
      <c r="R25" s="272" t="s">
        <v>84</v>
      </c>
      <c r="S25" s="273" t="e">
        <f t="shared" si="6"/>
        <v>#REF!</v>
      </c>
      <c r="T25" s="274" t="e">
        <f>N26*P26*#REF!</f>
        <v>#REF!</v>
      </c>
      <c r="U25" s="336">
        <f t="shared" si="12"/>
        <v>315</v>
      </c>
      <c r="V25" s="214">
        <v>0.5</v>
      </c>
    </row>
    <row r="26" spans="1:22" s="1" customFormat="1">
      <c r="A26" s="236"/>
      <c r="B26" s="285">
        <v>19</v>
      </c>
      <c r="C26" s="216" t="s">
        <v>119</v>
      </c>
      <c r="D26" s="216"/>
      <c r="E26" s="187">
        <f t="shared" si="0"/>
        <v>27782</v>
      </c>
      <c r="F26" s="296">
        <v>27782</v>
      </c>
      <c r="G26" s="293">
        <f t="shared" si="2"/>
        <v>8959</v>
      </c>
      <c r="H26" s="286">
        <f t="shared" si="3"/>
        <v>8959</v>
      </c>
      <c r="I26" s="256">
        <v>27782</v>
      </c>
      <c r="J26" s="257" t="e">
        <f>37.8*S25*0.6*10000</f>
        <v>#REF!</v>
      </c>
      <c r="K26" s="296">
        <v>27782</v>
      </c>
      <c r="L26" s="216"/>
      <c r="M26" s="312">
        <f t="shared" si="5"/>
        <v>2.3699999999999999E-2</v>
      </c>
      <c r="N26" s="216">
        <v>700</v>
      </c>
      <c r="O26" s="216">
        <v>1</v>
      </c>
      <c r="P26" s="216">
        <v>1.04</v>
      </c>
      <c r="Q26" s="313">
        <v>0.5</v>
      </c>
      <c r="R26" s="343"/>
      <c r="S26" s="344"/>
      <c r="T26" s="274" t="e">
        <f>SUM(T7:T25)</f>
        <v>#REF!</v>
      </c>
      <c r="U26" s="336">
        <f t="shared" si="12"/>
        <v>364</v>
      </c>
      <c r="V26" s="214">
        <v>0.5</v>
      </c>
    </row>
    <row r="27" spans="1:22" s="4" customFormat="1" ht="25.5" customHeight="1">
      <c r="A27" s="287"/>
      <c r="B27" s="288">
        <v>20</v>
      </c>
      <c r="C27" s="289" t="s">
        <v>120</v>
      </c>
      <c r="D27" s="289"/>
      <c r="E27" s="187">
        <f t="shared" si="0"/>
        <v>13390</v>
      </c>
      <c r="F27" s="256">
        <f>H27*(1-0.195)</f>
        <v>9190</v>
      </c>
      <c r="G27" s="290">
        <f t="shared" si="2"/>
        <v>15616</v>
      </c>
      <c r="H27" s="291">
        <f t="shared" si="3"/>
        <v>11416</v>
      </c>
      <c r="I27" s="314" t="e">
        <f>J27*(1-0.14)</f>
        <v>#REF!</v>
      </c>
      <c r="J27" s="315" t="e">
        <f>37.8*S33*0.4*10000</f>
        <v>#REF!</v>
      </c>
      <c r="K27" s="292">
        <v>14700</v>
      </c>
      <c r="L27" s="289">
        <v>4200</v>
      </c>
      <c r="M27" s="316">
        <f t="shared" si="5"/>
        <v>3.0200000000000001E-2</v>
      </c>
      <c r="N27" s="289">
        <v>900</v>
      </c>
      <c r="O27" s="289">
        <v>1</v>
      </c>
      <c r="P27" s="219">
        <v>1.03</v>
      </c>
      <c r="Q27" s="324">
        <v>0.5</v>
      </c>
      <c r="R27" s="345"/>
      <c r="S27" s="346"/>
      <c r="T27" s="346"/>
      <c r="U27" s="338">
        <f t="shared" si="12"/>
        <v>463.5</v>
      </c>
      <c r="V27" s="219">
        <v>0.5</v>
      </c>
    </row>
    <row r="28" spans="1:22" s="64" customFormat="1">
      <c r="B28" s="294" t="s">
        <v>125</v>
      </c>
      <c r="C28" s="297"/>
      <c r="D28" s="297"/>
      <c r="E28" s="187">
        <f t="shared" si="0"/>
        <v>0</v>
      </c>
      <c r="F28" s="256">
        <f t="shared" ref="F28" si="14">H28*(1-0.1292262)</f>
        <v>0</v>
      </c>
      <c r="G28" s="187"/>
      <c r="H28" s="286"/>
      <c r="I28" s="325"/>
      <c r="J28" s="326"/>
      <c r="K28" s="326"/>
      <c r="L28" s="297"/>
      <c r="M28" s="312"/>
      <c r="N28" s="297"/>
      <c r="O28" s="297"/>
      <c r="P28" s="297"/>
      <c r="Q28" s="297"/>
      <c r="R28" s="347"/>
      <c r="S28" s="340"/>
      <c r="T28" s="341"/>
      <c r="U28" s="233"/>
      <c r="V28" s="297"/>
    </row>
    <row r="29" spans="1:22" s="1" customFormat="1">
      <c r="A29" s="236"/>
      <c r="B29" s="216">
        <v>21</v>
      </c>
      <c r="C29" s="216" t="s">
        <v>107</v>
      </c>
      <c r="D29" s="216"/>
      <c r="E29" s="187">
        <f t="shared" si="0"/>
        <v>2241</v>
      </c>
      <c r="F29" s="296">
        <v>2241</v>
      </c>
      <c r="G29" s="293">
        <f t="shared" si="2"/>
        <v>2230</v>
      </c>
      <c r="H29" s="286">
        <f t="shared" si="3"/>
        <v>2230</v>
      </c>
      <c r="I29" s="256">
        <f t="shared" ref="I29:I33" si="15">J29*(1-0.14)</f>
        <v>3251</v>
      </c>
      <c r="J29" s="257">
        <v>3780</v>
      </c>
      <c r="K29" s="296">
        <v>2241</v>
      </c>
      <c r="L29" s="216"/>
      <c r="M29" s="312">
        <f t="shared" si="5"/>
        <v>5.8999999999999999E-3</v>
      </c>
      <c r="N29" s="216">
        <v>360</v>
      </c>
      <c r="O29" s="216">
        <v>1</v>
      </c>
      <c r="P29" s="214">
        <v>1</v>
      </c>
      <c r="Q29" s="214">
        <v>0.25</v>
      </c>
      <c r="R29" s="272" t="s">
        <v>85</v>
      </c>
      <c r="S29" s="273" t="e">
        <f t="shared" ref="S29:S37" si="16">T29/7189</f>
        <v>#REF!</v>
      </c>
      <c r="T29" s="274" t="e">
        <f>N31*P31*#REF!</f>
        <v>#REF!</v>
      </c>
      <c r="U29" s="336">
        <f t="shared" ref="U29:U37" si="17">N29*O29*P29*Q29</f>
        <v>90</v>
      </c>
      <c r="V29" s="214">
        <v>0.5</v>
      </c>
    </row>
    <row r="30" spans="1:22" s="4" customFormat="1">
      <c r="A30" s="287"/>
      <c r="B30" s="289">
        <v>22</v>
      </c>
      <c r="C30" s="298" t="s">
        <v>126</v>
      </c>
      <c r="D30" s="298"/>
      <c r="E30" s="187">
        <f t="shared" si="0"/>
        <v>6786</v>
      </c>
      <c r="F30" s="256">
        <f>H30*(1-0.195)</f>
        <v>2586</v>
      </c>
      <c r="G30" s="290">
        <f t="shared" si="2"/>
        <v>7413</v>
      </c>
      <c r="H30" s="291">
        <f t="shared" si="3"/>
        <v>3213</v>
      </c>
      <c r="I30" s="314" t="e">
        <f t="shared" si="15"/>
        <v>#REF!</v>
      </c>
      <c r="J30" s="315" t="e">
        <f>37.8*#REF!*0.4*10000</f>
        <v>#REF!</v>
      </c>
      <c r="K30" s="317" t="s">
        <v>50</v>
      </c>
      <c r="L30" s="289">
        <v>4200</v>
      </c>
      <c r="M30" s="316">
        <f t="shared" si="5"/>
        <v>8.5000000000000006E-3</v>
      </c>
      <c r="N30" s="289">
        <v>500</v>
      </c>
      <c r="O30" s="289">
        <v>1</v>
      </c>
      <c r="P30" s="219">
        <v>1.04</v>
      </c>
      <c r="Q30" s="219">
        <v>0.25</v>
      </c>
      <c r="R30" s="337" t="s">
        <v>85</v>
      </c>
      <c r="S30" s="160" t="e">
        <f t="shared" si="16"/>
        <v>#REF!</v>
      </c>
      <c r="T30" s="161" t="e">
        <f>N32*P32*#REF!</f>
        <v>#REF!</v>
      </c>
      <c r="U30" s="338">
        <f t="shared" si="17"/>
        <v>130</v>
      </c>
      <c r="V30" s="219">
        <v>0.25</v>
      </c>
    </row>
    <row r="31" spans="1:22" s="1" customFormat="1">
      <c r="A31" s="236"/>
      <c r="B31" s="216">
        <v>23</v>
      </c>
      <c r="C31" s="216" t="s">
        <v>109</v>
      </c>
      <c r="D31" s="216"/>
      <c r="E31" s="187">
        <f t="shared" si="0"/>
        <v>1004</v>
      </c>
      <c r="F31" s="256">
        <f>H31*(1-0.195)</f>
        <v>1004</v>
      </c>
      <c r="G31" s="187">
        <f t="shared" si="2"/>
        <v>1247</v>
      </c>
      <c r="H31" s="286">
        <f t="shared" si="3"/>
        <v>1247</v>
      </c>
      <c r="I31" s="256" t="e">
        <f t="shared" si="15"/>
        <v>#REF!</v>
      </c>
      <c r="J31" s="257" t="e">
        <f t="shared" ref="J31:J32" si="18">37.8*S29*0.4*10000</f>
        <v>#REF!</v>
      </c>
      <c r="K31" s="308" t="s">
        <v>50</v>
      </c>
      <c r="L31" s="216"/>
      <c r="M31" s="312">
        <f t="shared" si="5"/>
        <v>3.3E-3</v>
      </c>
      <c r="N31" s="216">
        <v>200</v>
      </c>
      <c r="O31" s="216">
        <v>1</v>
      </c>
      <c r="P31" s="214">
        <v>1.01</v>
      </c>
      <c r="Q31" s="214">
        <v>0.25</v>
      </c>
      <c r="R31" s="272" t="s">
        <v>84</v>
      </c>
      <c r="S31" s="273" t="e">
        <f t="shared" si="16"/>
        <v>#REF!</v>
      </c>
      <c r="T31" s="274" t="e">
        <f>N22*P22*#REF!</f>
        <v>#REF!</v>
      </c>
      <c r="U31" s="336">
        <f t="shared" si="17"/>
        <v>50.5</v>
      </c>
      <c r="V31" s="214">
        <v>0.25</v>
      </c>
    </row>
    <row r="32" spans="1:22" s="1" customFormat="1">
      <c r="A32" s="236"/>
      <c r="B32" s="216">
        <v>24</v>
      </c>
      <c r="C32" s="216" t="s">
        <v>110</v>
      </c>
      <c r="D32" s="216"/>
      <c r="E32" s="187">
        <f t="shared" si="0"/>
        <v>1244</v>
      </c>
      <c r="F32" s="296">
        <v>1244</v>
      </c>
      <c r="G32" s="187">
        <f t="shared" si="2"/>
        <v>1852</v>
      </c>
      <c r="H32" s="286">
        <f t="shared" si="3"/>
        <v>1852</v>
      </c>
      <c r="I32" s="256" t="e">
        <f t="shared" si="15"/>
        <v>#REF!</v>
      </c>
      <c r="J32" s="257" t="e">
        <f t="shared" si="18"/>
        <v>#REF!</v>
      </c>
      <c r="K32" s="296">
        <v>1244</v>
      </c>
      <c r="L32" s="216"/>
      <c r="M32" s="312">
        <f t="shared" si="5"/>
        <v>4.8999999999999998E-3</v>
      </c>
      <c r="N32" s="216">
        <v>300</v>
      </c>
      <c r="O32" s="216">
        <v>1</v>
      </c>
      <c r="P32" s="214">
        <v>1</v>
      </c>
      <c r="Q32" s="214">
        <v>0.25</v>
      </c>
      <c r="R32" s="272" t="s">
        <v>84</v>
      </c>
      <c r="S32" s="273" t="e">
        <f t="shared" si="16"/>
        <v>#REF!</v>
      </c>
      <c r="T32" s="274" t="e">
        <f>N33*P33*#REF!</f>
        <v>#REF!</v>
      </c>
      <c r="U32" s="336">
        <f t="shared" si="17"/>
        <v>75</v>
      </c>
      <c r="V32" s="214">
        <v>0.25</v>
      </c>
    </row>
    <row r="33" spans="1:22" s="1" customFormat="1">
      <c r="A33" s="236"/>
      <c r="B33" s="216">
        <v>25</v>
      </c>
      <c r="C33" s="216" t="s">
        <v>111</v>
      </c>
      <c r="D33" s="216"/>
      <c r="E33" s="187">
        <f t="shared" si="0"/>
        <v>6898</v>
      </c>
      <c r="F33" s="296">
        <v>6898</v>
      </c>
      <c r="G33" s="293">
        <f t="shared" si="2"/>
        <v>4082</v>
      </c>
      <c r="H33" s="286">
        <f t="shared" si="3"/>
        <v>4082</v>
      </c>
      <c r="I33" s="256" t="e">
        <f t="shared" si="15"/>
        <v>#REF!</v>
      </c>
      <c r="J33" s="257" t="e">
        <f>37.8*S32*0.4*10000</f>
        <v>#REF!</v>
      </c>
      <c r="K33" s="296">
        <v>6898</v>
      </c>
      <c r="L33" s="216"/>
      <c r="M33" s="312">
        <f t="shared" si="5"/>
        <v>1.0800000000000001E-2</v>
      </c>
      <c r="N33" s="216">
        <v>1125</v>
      </c>
      <c r="O33" s="216">
        <v>0.58799999999999997</v>
      </c>
      <c r="P33" s="214">
        <v>1</v>
      </c>
      <c r="Q33" s="214">
        <v>0.25</v>
      </c>
      <c r="R33" s="272" t="s">
        <v>84</v>
      </c>
      <c r="S33" s="273" t="e">
        <f t="shared" si="16"/>
        <v>#REF!</v>
      </c>
      <c r="T33" s="274" t="e">
        <f>N27*P27*#REF!</f>
        <v>#REF!</v>
      </c>
      <c r="U33" s="336">
        <f t="shared" si="17"/>
        <v>165.375</v>
      </c>
      <c r="V33" s="214">
        <v>0.5</v>
      </c>
    </row>
    <row r="34" spans="1:22" s="64" customFormat="1">
      <c r="A34" s="236"/>
      <c r="B34" s="216">
        <v>26</v>
      </c>
      <c r="C34" s="216" t="s">
        <v>112</v>
      </c>
      <c r="D34" s="216"/>
      <c r="E34" s="187">
        <f t="shared" si="0"/>
        <v>4930</v>
      </c>
      <c r="F34" s="296">
        <v>4930</v>
      </c>
      <c r="G34" s="293">
        <f t="shared" si="2"/>
        <v>3100</v>
      </c>
      <c r="H34" s="286">
        <f t="shared" si="3"/>
        <v>3100</v>
      </c>
      <c r="I34" s="256" t="e">
        <f>J34*(1-0.14)+1700</f>
        <v>#REF!</v>
      </c>
      <c r="J34" s="257" t="e">
        <f>37.8*S34*0.4*10000</f>
        <v>#REF!</v>
      </c>
      <c r="K34" s="296">
        <v>4930</v>
      </c>
      <c r="L34" s="216"/>
      <c r="M34" s="312">
        <f t="shared" si="5"/>
        <v>8.2000000000000007E-3</v>
      </c>
      <c r="N34" s="216">
        <v>500</v>
      </c>
      <c r="O34" s="216">
        <v>1</v>
      </c>
      <c r="P34" s="214">
        <v>1.01</v>
      </c>
      <c r="Q34" s="214">
        <v>0.25</v>
      </c>
      <c r="R34" s="272" t="s">
        <v>84</v>
      </c>
      <c r="S34" s="340" t="e">
        <f t="shared" si="16"/>
        <v>#REF!</v>
      </c>
      <c r="T34" s="341" t="e">
        <f>N34*P34*#REF!</f>
        <v>#REF!</v>
      </c>
      <c r="U34" s="336">
        <f t="shared" si="17"/>
        <v>126.25</v>
      </c>
      <c r="V34" s="214">
        <v>0.5</v>
      </c>
    </row>
    <row r="35" spans="1:22" s="1" customFormat="1">
      <c r="A35" s="236"/>
      <c r="B35" s="216">
        <v>27</v>
      </c>
      <c r="C35" s="216" t="s">
        <v>113</v>
      </c>
      <c r="D35" s="216"/>
      <c r="E35" s="187">
        <f t="shared" si="0"/>
        <v>10000</v>
      </c>
      <c r="F35" s="299">
        <v>10000</v>
      </c>
      <c r="G35" s="293">
        <f t="shared" si="2"/>
        <v>3100</v>
      </c>
      <c r="H35" s="286">
        <f t="shared" si="3"/>
        <v>3100</v>
      </c>
      <c r="I35" s="256">
        <v>10000</v>
      </c>
      <c r="J35" s="257" t="e">
        <f>37.8*S35*0.4*10000</f>
        <v>#REF!</v>
      </c>
      <c r="K35" s="299">
        <v>10000</v>
      </c>
      <c r="L35" s="216"/>
      <c r="M35" s="312">
        <f t="shared" si="5"/>
        <v>8.2000000000000007E-3</v>
      </c>
      <c r="N35" s="216">
        <v>500</v>
      </c>
      <c r="O35" s="216">
        <v>1</v>
      </c>
      <c r="P35" s="214">
        <v>1.01</v>
      </c>
      <c r="Q35" s="214">
        <v>0.25</v>
      </c>
      <c r="R35" s="272" t="s">
        <v>84</v>
      </c>
      <c r="S35" s="273" t="e">
        <f t="shared" si="16"/>
        <v>#REF!</v>
      </c>
      <c r="T35" s="274" t="e">
        <f>N35*P35*#REF!</f>
        <v>#REF!</v>
      </c>
      <c r="U35" s="336">
        <f t="shared" si="17"/>
        <v>126.25</v>
      </c>
      <c r="V35" s="214">
        <v>0.5</v>
      </c>
    </row>
    <row r="36" spans="1:22" s="1" customFormat="1">
      <c r="A36" s="236"/>
      <c r="B36" s="216">
        <v>28</v>
      </c>
      <c r="C36" s="216" t="s">
        <v>114</v>
      </c>
      <c r="D36" s="216"/>
      <c r="E36" s="187">
        <f t="shared" si="0"/>
        <v>7068</v>
      </c>
      <c r="F36" s="296">
        <v>7068</v>
      </c>
      <c r="G36" s="293">
        <f t="shared" si="2"/>
        <v>4347</v>
      </c>
      <c r="H36" s="286">
        <f t="shared" si="3"/>
        <v>4347</v>
      </c>
      <c r="I36" s="256" t="e">
        <f>J36*(1-0.14)</f>
        <v>#REF!</v>
      </c>
      <c r="J36" s="257" t="e">
        <f>37.8*S36*0.4*10000</f>
        <v>#REF!</v>
      </c>
      <c r="K36" s="296">
        <v>7068</v>
      </c>
      <c r="L36" s="216"/>
      <c r="M36" s="312">
        <f t="shared" si="5"/>
        <v>1.15E-2</v>
      </c>
      <c r="N36" s="216">
        <v>900</v>
      </c>
      <c r="O36" s="216">
        <v>0.77</v>
      </c>
      <c r="P36" s="214">
        <v>1.02</v>
      </c>
      <c r="Q36" s="214">
        <v>0.25</v>
      </c>
      <c r="R36" s="272" t="s">
        <v>84</v>
      </c>
      <c r="S36" s="273" t="e">
        <f t="shared" si="16"/>
        <v>#REF!</v>
      </c>
      <c r="T36" s="274" t="e">
        <f>N36*P36*#REF!</f>
        <v>#REF!</v>
      </c>
      <c r="U36" s="336">
        <f t="shared" si="17"/>
        <v>176.715</v>
      </c>
      <c r="V36" s="214">
        <v>0.5</v>
      </c>
    </row>
    <row r="37" spans="1:22" s="1" customFormat="1">
      <c r="A37" s="236"/>
      <c r="B37" s="216">
        <v>29</v>
      </c>
      <c r="C37" s="300" t="s">
        <v>79</v>
      </c>
      <c r="D37" s="300"/>
      <c r="E37" s="187">
        <f t="shared" si="0"/>
        <v>700</v>
      </c>
      <c r="F37" s="256">
        <f>H37*(1-0.195)</f>
        <v>700</v>
      </c>
      <c r="G37" s="187">
        <f t="shared" si="2"/>
        <v>869</v>
      </c>
      <c r="H37" s="286">
        <f t="shared" si="3"/>
        <v>869</v>
      </c>
      <c r="I37" s="256" t="e">
        <f>J37*(1-0.11)</f>
        <v>#REF!</v>
      </c>
      <c r="J37" s="257" t="e">
        <f>37.8*S37*0.4*10000</f>
        <v>#REF!</v>
      </c>
      <c r="K37" s="308" t="s">
        <v>50</v>
      </c>
      <c r="L37" s="216"/>
      <c r="M37" s="312">
        <f t="shared" si="5"/>
        <v>2.3E-3</v>
      </c>
      <c r="N37" s="216">
        <v>140</v>
      </c>
      <c r="O37" s="216">
        <v>1</v>
      </c>
      <c r="P37" s="214">
        <v>1</v>
      </c>
      <c r="Q37" s="214">
        <v>0.25</v>
      </c>
      <c r="R37" s="272" t="s">
        <v>84</v>
      </c>
      <c r="S37" s="273" t="e">
        <f t="shared" si="16"/>
        <v>#REF!</v>
      </c>
      <c r="T37" s="274" t="e">
        <f>N37*P37*#REF!</f>
        <v>#REF!</v>
      </c>
      <c r="U37" s="336">
        <f t="shared" si="17"/>
        <v>35</v>
      </c>
      <c r="V37" s="214">
        <v>0.5</v>
      </c>
    </row>
    <row r="38" spans="1:22" s="64" customFormat="1">
      <c r="B38" s="294" t="s">
        <v>127</v>
      </c>
      <c r="C38" s="301"/>
      <c r="D38" s="301"/>
      <c r="E38" s="187">
        <f t="shared" si="0"/>
        <v>0</v>
      </c>
      <c r="F38" s="301"/>
      <c r="G38" s="301"/>
      <c r="H38" s="302"/>
      <c r="I38" s="299"/>
      <c r="J38" s="296"/>
      <c r="K38" s="327"/>
      <c r="L38" s="301"/>
      <c r="M38" s="328"/>
      <c r="N38" s="301"/>
      <c r="O38" s="301"/>
      <c r="P38" s="301"/>
      <c r="Q38" s="301"/>
      <c r="R38" s="348"/>
      <c r="S38" s="349"/>
      <c r="T38" s="341"/>
      <c r="U38" s="233"/>
      <c r="V38" s="301"/>
    </row>
    <row r="39" spans="1:22">
      <c r="I39" s="142">
        <f>I28+I38</f>
        <v>0</v>
      </c>
      <c r="J39" s="121">
        <f>J28+J38</f>
        <v>0</v>
      </c>
      <c r="V39" s="234"/>
    </row>
    <row r="40" spans="1:22">
      <c r="H40" s="279" t="s">
        <v>128</v>
      </c>
      <c r="K40" s="280">
        <f>K12+K23+K25+K26+K29+K33+E34+E35+E36</f>
        <v>118393</v>
      </c>
    </row>
    <row r="41" spans="1:22">
      <c r="H41" s="279" t="s">
        <v>129</v>
      </c>
      <c r="K41" s="280">
        <f>G12+G23+G25+G26+G29+G33+G34+G35+G36</f>
        <v>64118</v>
      </c>
    </row>
    <row r="42" spans="1:22">
      <c r="H42" s="279" t="s">
        <v>130</v>
      </c>
      <c r="K42" s="329">
        <f>(K40-K41)/(420000-M40)</f>
        <v>0.12922620000000001</v>
      </c>
    </row>
  </sheetData>
  <mergeCells count="2">
    <mergeCell ref="A1:B1"/>
    <mergeCell ref="B3:R3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topLeftCell="A13" workbookViewId="0">
      <selection activeCell="H25" sqref="H25"/>
    </sheetView>
  </sheetViews>
  <sheetFormatPr defaultColWidth="9" defaultRowHeight="17.399999999999999"/>
  <cols>
    <col min="1" max="1" width="2.21875" customWidth="1"/>
    <col min="2" max="2" width="5.77734375" style="120" customWidth="1"/>
    <col min="3" max="3" width="13.21875" style="65" customWidth="1"/>
    <col min="4" max="4" width="11.6640625" style="120" customWidth="1"/>
    <col min="5" max="5" width="12" style="142" hidden="1" customWidth="1"/>
    <col min="6" max="6" width="10.77734375" style="121" hidden="1" customWidth="1"/>
    <col min="7" max="7" width="10.77734375" style="121" customWidth="1"/>
    <col min="8" max="8" width="8.6640625" style="65" customWidth="1"/>
    <col min="9" max="9" width="9.77734375" style="122" customWidth="1"/>
    <col min="10" max="10" width="10.44140625" style="120" customWidth="1"/>
    <col min="11" max="11" width="8.21875" style="120" customWidth="1"/>
    <col min="12" max="12" width="8.44140625" style="120" customWidth="1"/>
    <col min="13" max="13" width="9.109375" style="120" customWidth="1"/>
    <col min="14" max="14" width="5.6640625" hidden="1" customWidth="1"/>
    <col min="15" max="15" width="10.21875" style="6" hidden="1" customWidth="1"/>
    <col min="16" max="16" width="9.21875" style="6" hidden="1" customWidth="1"/>
    <col min="17" max="17" width="12.21875" customWidth="1"/>
  </cols>
  <sheetData>
    <row r="1" spans="1:16">
      <c r="A1" s="539" t="s">
        <v>34</v>
      </c>
      <c r="B1" s="540"/>
      <c r="C1" s="173"/>
      <c r="D1" s="173"/>
      <c r="E1" s="239"/>
      <c r="F1" s="240"/>
      <c r="G1" s="240"/>
      <c r="H1" s="173"/>
      <c r="I1" s="260"/>
      <c r="J1" s="173"/>
      <c r="K1" s="173"/>
      <c r="L1" s="173"/>
      <c r="M1" s="173"/>
      <c r="N1" s="210"/>
    </row>
    <row r="2" spans="1:16">
      <c r="A2" s="238"/>
      <c r="B2" s="176"/>
      <c r="C2" s="173"/>
      <c r="D2" s="173"/>
      <c r="E2" s="239"/>
      <c r="F2" s="240"/>
      <c r="G2" s="240"/>
      <c r="H2" s="173"/>
      <c r="I2" s="260"/>
      <c r="J2" s="173"/>
      <c r="K2" s="173"/>
      <c r="L2" s="173"/>
      <c r="M2" s="173"/>
      <c r="N2" s="210"/>
    </row>
    <row r="3" spans="1:16" ht="20.399999999999999">
      <c r="A3" s="241"/>
      <c r="B3" s="537" t="s">
        <v>35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8"/>
    </row>
    <row r="4" spans="1:16">
      <c r="A4" s="241"/>
      <c r="B4" s="242"/>
      <c r="C4" s="242"/>
      <c r="D4" s="242"/>
      <c r="E4" s="243"/>
      <c r="F4" s="244"/>
      <c r="G4" s="244"/>
      <c r="H4" s="242"/>
      <c r="I4" s="242"/>
      <c r="J4" s="242"/>
      <c r="K4" s="242"/>
      <c r="L4" s="242"/>
      <c r="M4" s="242"/>
      <c r="N4" s="261"/>
    </row>
    <row r="5" spans="1:16" s="141" customFormat="1" ht="51" customHeight="1">
      <c r="A5" s="245"/>
      <c r="B5" s="181" t="s">
        <v>1</v>
      </c>
      <c r="C5" s="181" t="s">
        <v>2</v>
      </c>
      <c r="D5" s="181" t="s">
        <v>131</v>
      </c>
      <c r="E5" s="246"/>
      <c r="F5" s="183" t="s">
        <v>123</v>
      </c>
      <c r="G5" s="183" t="s">
        <v>5</v>
      </c>
      <c r="H5" s="181" t="s">
        <v>41</v>
      </c>
      <c r="I5" s="262" t="s">
        <v>42</v>
      </c>
      <c r="J5" s="181" t="s">
        <v>43</v>
      </c>
      <c r="K5" s="181" t="s">
        <v>44</v>
      </c>
      <c r="L5" s="181" t="s">
        <v>45</v>
      </c>
      <c r="M5" s="181" t="s">
        <v>4</v>
      </c>
      <c r="N5" s="263" t="s">
        <v>81</v>
      </c>
    </row>
    <row r="6" spans="1:16">
      <c r="A6" s="241"/>
      <c r="B6" s="247"/>
      <c r="C6" s="247" t="s">
        <v>86</v>
      </c>
      <c r="D6" s="248">
        <f>D20+D39</f>
        <v>420000</v>
      </c>
      <c r="E6" s="248"/>
      <c r="F6" s="249">
        <f>SUM(F20+F39)</f>
        <v>378000</v>
      </c>
      <c r="G6" s="249"/>
      <c r="H6" s="247"/>
      <c r="I6" s="264"/>
      <c r="J6" s="247">
        <v>24330</v>
      </c>
      <c r="K6" s="247"/>
      <c r="L6" s="247"/>
      <c r="M6" s="247"/>
      <c r="N6" s="265"/>
    </row>
    <row r="7" spans="1:16" ht="22.5" customHeight="1">
      <c r="A7" s="241"/>
      <c r="B7" s="541" t="s">
        <v>132</v>
      </c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3"/>
    </row>
    <row r="8" spans="1:16">
      <c r="A8" s="241"/>
      <c r="B8" s="250">
        <v>1</v>
      </c>
      <c r="C8" s="250" t="s">
        <v>87</v>
      </c>
      <c r="D8" s="251">
        <f>E8+H8</f>
        <v>2652</v>
      </c>
      <c r="E8" s="251">
        <f>F8*(1-0.14)</f>
        <v>2652</v>
      </c>
      <c r="F8" s="252">
        <f>37.8*O8*0.6*10000</f>
        <v>3084</v>
      </c>
      <c r="G8" s="253" t="s">
        <v>50</v>
      </c>
      <c r="H8" s="250"/>
      <c r="I8" s="266">
        <v>1.3599999999999999E-2</v>
      </c>
      <c r="J8" s="250">
        <v>140</v>
      </c>
      <c r="K8" s="250">
        <v>1</v>
      </c>
      <c r="L8" s="267">
        <v>1</v>
      </c>
      <c r="M8" s="267">
        <v>0.65</v>
      </c>
      <c r="N8" s="268" t="s">
        <v>82</v>
      </c>
      <c r="O8" s="138">
        <f>P8/6679</f>
        <v>1.3599999999999999E-2</v>
      </c>
      <c r="P8" s="139">
        <f>J8*L8*M8</f>
        <v>91</v>
      </c>
    </row>
    <row r="9" spans="1:16">
      <c r="A9" s="241"/>
      <c r="B9" s="184">
        <v>2</v>
      </c>
      <c r="C9" s="184" t="s">
        <v>88</v>
      </c>
      <c r="D9" s="254">
        <f t="shared" ref="D9:D19" si="0">E9+H9</f>
        <v>2418</v>
      </c>
      <c r="E9" s="254">
        <f t="shared" ref="E9:E12" si="1">F9*(1-0.14)</f>
        <v>2418</v>
      </c>
      <c r="F9" s="188">
        <f>37.8*O9*0.6*10000+68</f>
        <v>2812</v>
      </c>
      <c r="G9" s="255" t="s">
        <v>50</v>
      </c>
      <c r="H9" s="184"/>
      <c r="I9" s="269">
        <v>1.21E-2</v>
      </c>
      <c r="J9" s="184">
        <v>125</v>
      </c>
      <c r="K9" s="184">
        <v>1</v>
      </c>
      <c r="L9" s="218">
        <v>1</v>
      </c>
      <c r="M9" s="218">
        <v>0.65</v>
      </c>
      <c r="N9" s="270" t="s">
        <v>82</v>
      </c>
      <c r="O9" s="138">
        <f t="shared" ref="O9:O19" si="2">P9/6679</f>
        <v>1.21E-2</v>
      </c>
      <c r="P9" s="139">
        <f t="shared" ref="P9:P19" si="3">J9*L9*M9</f>
        <v>81</v>
      </c>
    </row>
    <row r="10" spans="1:16">
      <c r="A10" s="241"/>
      <c r="B10" s="184">
        <v>3</v>
      </c>
      <c r="C10" s="184" t="s">
        <v>89</v>
      </c>
      <c r="D10" s="254">
        <f t="shared" si="0"/>
        <v>46868</v>
      </c>
      <c r="E10" s="254">
        <f t="shared" si="1"/>
        <v>39868</v>
      </c>
      <c r="F10" s="188">
        <f>37.8*O10*0.6*10000</f>
        <v>46358</v>
      </c>
      <c r="G10" s="188">
        <v>12199</v>
      </c>
      <c r="H10" s="184">
        <v>7000</v>
      </c>
      <c r="I10" s="269">
        <v>0.2044</v>
      </c>
      <c r="J10" s="184">
        <v>2000</v>
      </c>
      <c r="K10" s="184">
        <v>1</v>
      </c>
      <c r="L10" s="184">
        <v>1.05</v>
      </c>
      <c r="M10" s="218">
        <v>0.65</v>
      </c>
      <c r="N10" s="270" t="s">
        <v>82</v>
      </c>
      <c r="O10" s="138">
        <f t="shared" si="2"/>
        <v>0.2044</v>
      </c>
      <c r="P10" s="139">
        <f t="shared" si="3"/>
        <v>1365</v>
      </c>
    </row>
    <row r="11" spans="1:16">
      <c r="A11" s="241"/>
      <c r="B11" s="184">
        <v>4</v>
      </c>
      <c r="C11" s="184" t="s">
        <v>90</v>
      </c>
      <c r="D11" s="254">
        <f t="shared" si="0"/>
        <v>1892</v>
      </c>
      <c r="E11" s="254">
        <f t="shared" si="1"/>
        <v>1892</v>
      </c>
      <c r="F11" s="188">
        <f t="shared" ref="F11:F19" si="4">37.8*O11*0.6*10000</f>
        <v>2200</v>
      </c>
      <c r="G11" s="255" t="s">
        <v>50</v>
      </c>
      <c r="H11" s="184"/>
      <c r="I11" s="271">
        <v>0.01</v>
      </c>
      <c r="J11" s="184">
        <v>100</v>
      </c>
      <c r="K11" s="184">
        <v>1</v>
      </c>
      <c r="L11" s="218">
        <v>1</v>
      </c>
      <c r="M11" s="218">
        <v>0.65</v>
      </c>
      <c r="N11" s="270" t="s">
        <v>82</v>
      </c>
      <c r="O11" s="138">
        <f t="shared" si="2"/>
        <v>9.7000000000000003E-3</v>
      </c>
      <c r="P11" s="139">
        <f t="shared" si="3"/>
        <v>65</v>
      </c>
    </row>
    <row r="12" spans="1:16">
      <c r="A12" s="241"/>
      <c r="B12" s="184">
        <v>5</v>
      </c>
      <c r="C12" s="184" t="s">
        <v>91</v>
      </c>
      <c r="D12" s="254">
        <f t="shared" si="0"/>
        <v>14278</v>
      </c>
      <c r="E12" s="254">
        <f t="shared" si="1"/>
        <v>14278</v>
      </c>
      <c r="F12" s="188">
        <f t="shared" si="4"/>
        <v>16602</v>
      </c>
      <c r="G12" s="188">
        <v>7481</v>
      </c>
      <c r="H12" s="184"/>
      <c r="I12" s="269">
        <v>7.3200000000000001E-2</v>
      </c>
      <c r="J12" s="184">
        <v>950</v>
      </c>
      <c r="K12" s="184">
        <v>1</v>
      </c>
      <c r="L12" s="184">
        <v>1.03</v>
      </c>
      <c r="M12" s="218">
        <v>0.5</v>
      </c>
      <c r="N12" s="270" t="s">
        <v>83</v>
      </c>
      <c r="O12" s="138">
        <f t="shared" si="2"/>
        <v>7.3200000000000001E-2</v>
      </c>
      <c r="P12" s="139">
        <f t="shared" si="3"/>
        <v>489</v>
      </c>
    </row>
    <row r="13" spans="1:16" s="1" customFormat="1">
      <c r="A13" s="236"/>
      <c r="B13" s="216">
        <v>6</v>
      </c>
      <c r="C13" s="216" t="s">
        <v>116</v>
      </c>
      <c r="D13" s="256">
        <f t="shared" si="0"/>
        <v>36490</v>
      </c>
      <c r="E13" s="256">
        <v>36490</v>
      </c>
      <c r="F13" s="257">
        <f t="shared" si="4"/>
        <v>13857</v>
      </c>
      <c r="G13" s="257">
        <v>36490</v>
      </c>
      <c r="H13" s="216"/>
      <c r="I13" s="217">
        <v>6.1100000000000002E-2</v>
      </c>
      <c r="J13" s="216">
        <v>800</v>
      </c>
      <c r="K13" s="216">
        <v>1</v>
      </c>
      <c r="L13" s="216">
        <v>1.02</v>
      </c>
      <c r="M13" s="214">
        <v>0.5</v>
      </c>
      <c r="N13" s="272" t="s">
        <v>83</v>
      </c>
      <c r="O13" s="273">
        <f t="shared" si="2"/>
        <v>6.1100000000000002E-2</v>
      </c>
      <c r="P13" s="274">
        <f t="shared" si="3"/>
        <v>408</v>
      </c>
    </row>
    <row r="14" spans="1:16">
      <c r="A14" s="241"/>
      <c r="B14" s="184">
        <v>7</v>
      </c>
      <c r="C14" s="184" t="s">
        <v>93</v>
      </c>
      <c r="D14" s="254">
        <f t="shared" si="0"/>
        <v>16053</v>
      </c>
      <c r="E14" s="254">
        <f>F14*(1-0.14)</f>
        <v>16053</v>
      </c>
      <c r="F14" s="188">
        <f t="shared" si="4"/>
        <v>18666</v>
      </c>
      <c r="G14" s="188">
        <v>11885</v>
      </c>
      <c r="H14" s="184"/>
      <c r="I14" s="269">
        <v>8.2299999999999998E-2</v>
      </c>
      <c r="J14" s="184">
        <v>1000</v>
      </c>
      <c r="K14" s="184">
        <v>1</v>
      </c>
      <c r="L14" s="184">
        <v>1.1000000000000001</v>
      </c>
      <c r="M14" s="218">
        <v>0.5</v>
      </c>
      <c r="N14" s="270" t="s">
        <v>83</v>
      </c>
      <c r="O14" s="138">
        <f t="shared" si="2"/>
        <v>8.2299999999999998E-2</v>
      </c>
      <c r="P14" s="139">
        <f t="shared" si="3"/>
        <v>550</v>
      </c>
    </row>
    <row r="15" spans="1:16">
      <c r="A15" s="241"/>
      <c r="B15" s="184">
        <v>8</v>
      </c>
      <c r="C15" s="184" t="s">
        <v>94</v>
      </c>
      <c r="D15" s="254">
        <f t="shared" si="0"/>
        <v>56066</v>
      </c>
      <c r="E15" s="254">
        <f t="shared" ref="E15:E17" si="5">F15*(1-0.14)</f>
        <v>52566</v>
      </c>
      <c r="F15" s="188">
        <f t="shared" si="4"/>
        <v>61123</v>
      </c>
      <c r="G15" s="188">
        <v>21397</v>
      </c>
      <c r="H15" s="184">
        <v>3500</v>
      </c>
      <c r="I15" s="269">
        <v>0.26950000000000002</v>
      </c>
      <c r="J15" s="184">
        <v>3000</v>
      </c>
      <c r="K15" s="184">
        <v>1</v>
      </c>
      <c r="L15" s="184">
        <v>1.2</v>
      </c>
      <c r="M15" s="218">
        <v>0.5</v>
      </c>
      <c r="N15" s="270" t="s">
        <v>83</v>
      </c>
      <c r="O15" s="138">
        <f t="shared" si="2"/>
        <v>0.26950000000000002</v>
      </c>
      <c r="P15" s="139">
        <f t="shared" si="3"/>
        <v>1800</v>
      </c>
    </row>
    <row r="16" spans="1:16" s="63" customFormat="1">
      <c r="A16" s="241"/>
      <c r="B16" s="184">
        <v>9</v>
      </c>
      <c r="C16" s="184" t="s">
        <v>117</v>
      </c>
      <c r="D16" s="254">
        <f>E16+H16+300</f>
        <v>9807</v>
      </c>
      <c r="E16" s="254">
        <f t="shared" si="5"/>
        <v>6007</v>
      </c>
      <c r="F16" s="188">
        <f t="shared" si="4"/>
        <v>6985</v>
      </c>
      <c r="G16" s="188">
        <v>9750</v>
      </c>
      <c r="H16" s="184">
        <v>3500</v>
      </c>
      <c r="I16" s="269">
        <v>3.0800000000000001E-2</v>
      </c>
      <c r="J16" s="184">
        <v>400</v>
      </c>
      <c r="K16" s="184">
        <v>1</v>
      </c>
      <c r="L16" s="184">
        <v>1.03</v>
      </c>
      <c r="M16" s="218">
        <v>0.5</v>
      </c>
      <c r="N16" s="270" t="s">
        <v>84</v>
      </c>
      <c r="O16" s="275">
        <f t="shared" si="2"/>
        <v>3.0800000000000001E-2</v>
      </c>
      <c r="P16" s="276">
        <f t="shared" si="3"/>
        <v>206</v>
      </c>
    </row>
    <row r="17" spans="1:16">
      <c r="A17" s="241"/>
      <c r="B17" s="184">
        <v>10</v>
      </c>
      <c r="C17" s="184" t="s">
        <v>102</v>
      </c>
      <c r="D17" s="254">
        <f t="shared" si="0"/>
        <v>31099</v>
      </c>
      <c r="E17" s="254">
        <f t="shared" si="5"/>
        <v>27599</v>
      </c>
      <c r="F17" s="188">
        <f t="shared" si="4"/>
        <v>32092</v>
      </c>
      <c r="G17" s="188">
        <v>50</v>
      </c>
      <c r="H17" s="184">
        <v>3500</v>
      </c>
      <c r="I17" s="269">
        <v>0.14149999999999999</v>
      </c>
      <c r="J17" s="184">
        <v>1800</v>
      </c>
      <c r="K17" s="184">
        <v>1</v>
      </c>
      <c r="L17" s="184">
        <v>1.05</v>
      </c>
      <c r="M17" s="218">
        <v>0.5</v>
      </c>
      <c r="N17" s="270" t="s">
        <v>84</v>
      </c>
      <c r="O17" s="138">
        <f t="shared" si="2"/>
        <v>0.14149999999999999</v>
      </c>
      <c r="P17" s="139">
        <f t="shared" si="3"/>
        <v>945</v>
      </c>
    </row>
    <row r="18" spans="1:16" s="1" customFormat="1">
      <c r="A18" s="236"/>
      <c r="B18" s="216">
        <v>11</v>
      </c>
      <c r="C18" s="216" t="s">
        <v>118</v>
      </c>
      <c r="D18" s="256">
        <f t="shared" si="0"/>
        <v>13234</v>
      </c>
      <c r="E18" s="256">
        <f>13234</f>
        <v>13234</v>
      </c>
      <c r="F18" s="257">
        <f t="shared" si="4"/>
        <v>10705</v>
      </c>
      <c r="G18" s="257">
        <v>13234</v>
      </c>
      <c r="H18" s="216"/>
      <c r="I18" s="217">
        <v>4.7199999999999999E-2</v>
      </c>
      <c r="J18" s="216">
        <v>600</v>
      </c>
      <c r="K18" s="216">
        <v>1</v>
      </c>
      <c r="L18" s="216">
        <v>1.05</v>
      </c>
      <c r="M18" s="214">
        <v>0.5</v>
      </c>
      <c r="N18" s="272" t="s">
        <v>84</v>
      </c>
      <c r="O18" s="273">
        <f t="shared" si="2"/>
        <v>4.7199999999999999E-2</v>
      </c>
      <c r="P18" s="274">
        <f t="shared" si="3"/>
        <v>315</v>
      </c>
    </row>
    <row r="19" spans="1:16" s="1" customFormat="1">
      <c r="A19" s="236"/>
      <c r="B19" s="216">
        <v>12</v>
      </c>
      <c r="C19" s="216" t="s">
        <v>119</v>
      </c>
      <c r="D19" s="256">
        <f t="shared" si="0"/>
        <v>27782</v>
      </c>
      <c r="E19" s="256">
        <v>27782</v>
      </c>
      <c r="F19" s="257">
        <f t="shared" si="4"/>
        <v>12361</v>
      </c>
      <c r="G19" s="257">
        <v>27782</v>
      </c>
      <c r="H19" s="216"/>
      <c r="I19" s="217">
        <v>5.45E-2</v>
      </c>
      <c r="J19" s="216">
        <v>700</v>
      </c>
      <c r="K19" s="216">
        <v>1</v>
      </c>
      <c r="L19" s="216">
        <v>1.04</v>
      </c>
      <c r="M19" s="214">
        <v>0.5</v>
      </c>
      <c r="N19" s="272" t="s">
        <v>84</v>
      </c>
      <c r="O19" s="273">
        <f t="shared" si="2"/>
        <v>5.45E-2</v>
      </c>
      <c r="P19" s="274">
        <f t="shared" si="3"/>
        <v>364</v>
      </c>
    </row>
    <row r="20" spans="1:16">
      <c r="A20" s="241"/>
      <c r="B20" s="247"/>
      <c r="C20" s="247" t="s">
        <v>133</v>
      </c>
      <c r="D20" s="248">
        <f>SUM(D8:D19)</f>
        <v>258639</v>
      </c>
      <c r="E20" s="248">
        <f>SUM(E8:E19)</f>
        <v>240839</v>
      </c>
      <c r="F20" s="249">
        <f>SUM(F8:F19)</f>
        <v>226845</v>
      </c>
      <c r="G20" s="249"/>
      <c r="H20" s="247">
        <f>SUM(H8:H19)</f>
        <v>17500</v>
      </c>
      <c r="I20" s="264"/>
      <c r="J20" s="247">
        <v>11515</v>
      </c>
      <c r="K20" s="247"/>
      <c r="L20" s="247"/>
      <c r="M20" s="247"/>
      <c r="N20" s="277"/>
      <c r="P20" s="139">
        <f>SUM(P8:P19)</f>
        <v>6679</v>
      </c>
    </row>
    <row r="21" spans="1:16" ht="25.5" customHeight="1">
      <c r="A21" s="241"/>
      <c r="B21" s="541" t="s">
        <v>134</v>
      </c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3"/>
    </row>
    <row r="22" spans="1:16">
      <c r="A22" s="241"/>
      <c r="B22" s="250">
        <v>13</v>
      </c>
      <c r="C22" s="250" t="s">
        <v>98</v>
      </c>
      <c r="D22" s="251">
        <f>E22+H22</f>
        <v>7203</v>
      </c>
      <c r="E22" s="251">
        <f>F22*(1-0.14)</f>
        <v>7203</v>
      </c>
      <c r="F22" s="252">
        <f>37.8*O22*0.4*10000</f>
        <v>8376</v>
      </c>
      <c r="G22" s="252">
        <v>5890</v>
      </c>
      <c r="H22" s="250"/>
      <c r="I22" s="266">
        <v>5.5399999999999998E-2</v>
      </c>
      <c r="J22" s="250">
        <v>600</v>
      </c>
      <c r="K22" s="250">
        <v>1</v>
      </c>
      <c r="L22" s="267">
        <v>1.02</v>
      </c>
      <c r="M22" s="267">
        <v>0.65</v>
      </c>
      <c r="N22" s="268" t="s">
        <v>83</v>
      </c>
      <c r="O22" s="138">
        <f>P22/7189</f>
        <v>5.5399999999999998E-2</v>
      </c>
      <c r="P22" s="139">
        <f>J22*L22*M22</f>
        <v>398</v>
      </c>
    </row>
    <row r="23" spans="1:16">
      <c r="A23" s="241"/>
      <c r="B23" s="184">
        <v>14</v>
      </c>
      <c r="C23" s="184" t="s">
        <v>107</v>
      </c>
      <c r="D23" s="254">
        <f t="shared" ref="D23:D38" si="6">E23+H23</f>
        <v>3251</v>
      </c>
      <c r="E23" s="254">
        <f t="shared" ref="E23:E34" si="7">F23*(1-0.14)</f>
        <v>3251</v>
      </c>
      <c r="F23" s="188">
        <v>3780</v>
      </c>
      <c r="G23" s="188">
        <v>2241</v>
      </c>
      <c r="H23" s="184"/>
      <c r="I23" s="269">
        <v>2.5000000000000001E-2</v>
      </c>
      <c r="J23" s="184">
        <v>360</v>
      </c>
      <c r="K23" s="184">
        <v>1</v>
      </c>
      <c r="L23" s="218">
        <v>1</v>
      </c>
      <c r="M23" s="218">
        <v>0.5</v>
      </c>
      <c r="N23" s="270" t="s">
        <v>84</v>
      </c>
      <c r="O23" s="138">
        <f t="shared" ref="O23:O38" si="8">P23/7189</f>
        <v>2.5000000000000001E-2</v>
      </c>
      <c r="P23" s="139">
        <f t="shared" ref="P23:P38" si="9">J23*L23*M23</f>
        <v>180</v>
      </c>
    </row>
    <row r="24" spans="1:16">
      <c r="A24" s="241"/>
      <c r="B24" s="184">
        <v>15</v>
      </c>
      <c r="C24" s="184" t="s">
        <v>108</v>
      </c>
      <c r="D24" s="254">
        <f t="shared" si="6"/>
        <v>5854</v>
      </c>
      <c r="E24" s="254">
        <f t="shared" si="7"/>
        <v>2354</v>
      </c>
      <c r="F24" s="188">
        <f>37.8*O24*0.4*10000</f>
        <v>2737</v>
      </c>
      <c r="G24" s="255" t="s">
        <v>50</v>
      </c>
      <c r="H24" s="184">
        <v>3500</v>
      </c>
      <c r="I24" s="269">
        <v>1.8100000000000002E-2</v>
      </c>
      <c r="J24" s="184">
        <v>500</v>
      </c>
      <c r="K24" s="184">
        <v>1</v>
      </c>
      <c r="L24" s="218">
        <v>1.04</v>
      </c>
      <c r="M24" s="218">
        <v>0.25</v>
      </c>
      <c r="N24" s="270" t="s">
        <v>85</v>
      </c>
      <c r="O24" s="138">
        <f t="shared" si="8"/>
        <v>1.8100000000000002E-2</v>
      </c>
      <c r="P24" s="139">
        <f t="shared" si="9"/>
        <v>130</v>
      </c>
    </row>
    <row r="25" spans="1:16">
      <c r="A25" s="241"/>
      <c r="B25" s="184">
        <v>16</v>
      </c>
      <c r="C25" s="184" t="s">
        <v>109</v>
      </c>
      <c r="D25" s="254">
        <f t="shared" si="6"/>
        <v>4424</v>
      </c>
      <c r="E25" s="254">
        <f t="shared" si="7"/>
        <v>924</v>
      </c>
      <c r="F25" s="188">
        <f t="shared" ref="F25:F38" si="10">37.8*O25*0.4*10000</f>
        <v>1074</v>
      </c>
      <c r="G25" s="255" t="s">
        <v>50</v>
      </c>
      <c r="H25" s="184">
        <v>3500</v>
      </c>
      <c r="I25" s="269">
        <v>7.1000000000000004E-3</v>
      </c>
      <c r="J25" s="184">
        <v>200</v>
      </c>
      <c r="K25" s="184">
        <v>1</v>
      </c>
      <c r="L25" s="218">
        <v>1.01</v>
      </c>
      <c r="M25" s="218">
        <v>0.25</v>
      </c>
      <c r="N25" s="270" t="s">
        <v>85</v>
      </c>
      <c r="O25" s="138">
        <f t="shared" si="8"/>
        <v>7.1000000000000004E-3</v>
      </c>
      <c r="P25" s="139">
        <f t="shared" si="9"/>
        <v>51</v>
      </c>
    </row>
    <row r="26" spans="1:16">
      <c r="A26" s="241"/>
      <c r="B26" s="184">
        <v>17</v>
      </c>
      <c r="C26" s="184" t="s">
        <v>110</v>
      </c>
      <c r="D26" s="254">
        <f t="shared" si="6"/>
        <v>1352</v>
      </c>
      <c r="E26" s="254">
        <f t="shared" si="7"/>
        <v>1352</v>
      </c>
      <c r="F26" s="188">
        <f t="shared" si="10"/>
        <v>1572</v>
      </c>
      <c r="G26" s="188">
        <v>1244</v>
      </c>
      <c r="H26" s="184"/>
      <c r="I26" s="269">
        <v>1.04E-2</v>
      </c>
      <c r="J26" s="184">
        <v>300</v>
      </c>
      <c r="K26" s="184">
        <v>1</v>
      </c>
      <c r="L26" s="218">
        <v>1</v>
      </c>
      <c r="M26" s="218">
        <v>0.25</v>
      </c>
      <c r="N26" s="270" t="s">
        <v>85</v>
      </c>
      <c r="O26" s="138">
        <f t="shared" si="8"/>
        <v>1.04E-2</v>
      </c>
      <c r="P26" s="139">
        <f t="shared" si="9"/>
        <v>75</v>
      </c>
    </row>
    <row r="27" spans="1:16">
      <c r="A27" s="241"/>
      <c r="B27" s="184">
        <v>18</v>
      </c>
      <c r="C27" s="184" t="s">
        <v>95</v>
      </c>
      <c r="D27" s="254">
        <f t="shared" si="6"/>
        <v>14347</v>
      </c>
      <c r="E27" s="254">
        <f t="shared" si="7"/>
        <v>7347</v>
      </c>
      <c r="F27" s="188">
        <f t="shared" si="10"/>
        <v>8543</v>
      </c>
      <c r="G27" s="255" t="s">
        <v>50</v>
      </c>
      <c r="H27" s="184">
        <v>7000</v>
      </c>
      <c r="I27" s="269">
        <v>5.6500000000000002E-2</v>
      </c>
      <c r="J27" s="184">
        <v>600</v>
      </c>
      <c r="K27" s="184">
        <v>1</v>
      </c>
      <c r="L27" s="218">
        <v>1.04</v>
      </c>
      <c r="M27" s="218">
        <v>0.65</v>
      </c>
      <c r="N27" s="270" t="s">
        <v>82</v>
      </c>
      <c r="O27" s="138">
        <f t="shared" si="8"/>
        <v>5.6500000000000002E-2</v>
      </c>
      <c r="P27" s="139">
        <f t="shared" si="9"/>
        <v>406</v>
      </c>
    </row>
    <row r="28" spans="1:16">
      <c r="A28" s="241"/>
      <c r="B28" s="184">
        <v>19</v>
      </c>
      <c r="C28" s="184" t="s">
        <v>92</v>
      </c>
      <c r="D28" s="254">
        <f t="shared" si="6"/>
        <v>34849</v>
      </c>
      <c r="E28" s="254">
        <f t="shared" si="7"/>
        <v>34849</v>
      </c>
      <c r="F28" s="188">
        <f t="shared" si="10"/>
        <v>40522</v>
      </c>
      <c r="G28" s="255" t="s">
        <v>50</v>
      </c>
      <c r="H28" s="184"/>
      <c r="I28" s="269">
        <v>0.26800000000000002</v>
      </c>
      <c r="J28" s="184">
        <v>2600</v>
      </c>
      <c r="K28" s="184">
        <v>1</v>
      </c>
      <c r="L28" s="218">
        <v>1.1399999999999999</v>
      </c>
      <c r="M28" s="218">
        <v>0.65</v>
      </c>
      <c r="N28" s="270" t="s">
        <v>82</v>
      </c>
      <c r="O28" s="138">
        <f t="shared" si="8"/>
        <v>0.26800000000000002</v>
      </c>
      <c r="P28" s="139">
        <f t="shared" si="9"/>
        <v>1927</v>
      </c>
    </row>
    <row r="29" spans="1:16">
      <c r="A29" s="241"/>
      <c r="B29" s="184">
        <v>20</v>
      </c>
      <c r="C29" s="184" t="s">
        <v>99</v>
      </c>
      <c r="D29" s="254">
        <f t="shared" si="6"/>
        <v>19349</v>
      </c>
      <c r="E29" s="254">
        <f t="shared" si="7"/>
        <v>19349</v>
      </c>
      <c r="F29" s="188">
        <f t="shared" si="10"/>
        <v>22499</v>
      </c>
      <c r="G29" s="188">
        <v>7167</v>
      </c>
      <c r="H29" s="184"/>
      <c r="I29" s="269">
        <v>0.14879999999999999</v>
      </c>
      <c r="J29" s="184">
        <v>2000</v>
      </c>
      <c r="K29" s="184">
        <v>1</v>
      </c>
      <c r="L29" s="218">
        <v>1.07</v>
      </c>
      <c r="M29" s="218">
        <v>0.5</v>
      </c>
      <c r="N29" s="270" t="s">
        <v>83</v>
      </c>
      <c r="O29" s="138">
        <f t="shared" si="8"/>
        <v>0.14879999999999999</v>
      </c>
      <c r="P29" s="139">
        <f t="shared" si="9"/>
        <v>1070</v>
      </c>
    </row>
    <row r="30" spans="1:16">
      <c r="A30" s="241"/>
      <c r="B30" s="184">
        <v>21</v>
      </c>
      <c r="C30" s="184" t="s">
        <v>96</v>
      </c>
      <c r="D30" s="254">
        <f t="shared" si="6"/>
        <v>9583</v>
      </c>
      <c r="E30" s="254">
        <f t="shared" si="7"/>
        <v>9583</v>
      </c>
      <c r="F30" s="188">
        <f t="shared" si="10"/>
        <v>11143</v>
      </c>
      <c r="G30" s="255" t="s">
        <v>50</v>
      </c>
      <c r="H30" s="184"/>
      <c r="I30" s="269">
        <v>7.3700000000000002E-2</v>
      </c>
      <c r="J30" s="184">
        <v>800</v>
      </c>
      <c r="K30" s="184">
        <v>1</v>
      </c>
      <c r="L30" s="218">
        <v>1.02</v>
      </c>
      <c r="M30" s="218">
        <v>0.65</v>
      </c>
      <c r="N30" s="270" t="s">
        <v>82</v>
      </c>
      <c r="O30" s="138">
        <f t="shared" si="8"/>
        <v>7.3700000000000002E-2</v>
      </c>
      <c r="P30" s="139">
        <f t="shared" si="9"/>
        <v>530</v>
      </c>
    </row>
    <row r="31" spans="1:16">
      <c r="A31" s="241"/>
      <c r="B31" s="184">
        <v>22</v>
      </c>
      <c r="C31" s="184" t="s">
        <v>100</v>
      </c>
      <c r="D31" s="254">
        <f t="shared" si="6"/>
        <v>5422</v>
      </c>
      <c r="E31" s="254">
        <f t="shared" si="7"/>
        <v>5422</v>
      </c>
      <c r="F31" s="188">
        <f t="shared" si="10"/>
        <v>6305</v>
      </c>
      <c r="G31" s="188">
        <v>985</v>
      </c>
      <c r="H31" s="184"/>
      <c r="I31" s="269">
        <v>4.1700000000000001E-2</v>
      </c>
      <c r="J31" s="184">
        <v>600</v>
      </c>
      <c r="K31" s="184">
        <v>1</v>
      </c>
      <c r="L31" s="218">
        <v>1</v>
      </c>
      <c r="M31" s="218">
        <v>0.5</v>
      </c>
      <c r="N31" s="270" t="s">
        <v>84</v>
      </c>
      <c r="O31" s="138">
        <f t="shared" si="8"/>
        <v>4.1700000000000001E-2</v>
      </c>
      <c r="P31" s="139">
        <f t="shared" si="9"/>
        <v>300</v>
      </c>
    </row>
    <row r="32" spans="1:16">
      <c r="A32" s="241"/>
      <c r="B32" s="184">
        <v>23</v>
      </c>
      <c r="C32" s="184" t="s">
        <v>97</v>
      </c>
      <c r="D32" s="254">
        <f t="shared" si="6"/>
        <v>4579</v>
      </c>
      <c r="E32" s="254">
        <f t="shared" si="7"/>
        <v>1079</v>
      </c>
      <c r="F32" s="188">
        <f t="shared" si="10"/>
        <v>1255</v>
      </c>
      <c r="G32" s="188">
        <v>25</v>
      </c>
      <c r="H32" s="184">
        <v>3500</v>
      </c>
      <c r="I32" s="269">
        <v>8.3000000000000001E-3</v>
      </c>
      <c r="J32" s="184">
        <v>90</v>
      </c>
      <c r="K32" s="184">
        <v>1</v>
      </c>
      <c r="L32" s="218">
        <v>1.03</v>
      </c>
      <c r="M32" s="218">
        <v>0.65</v>
      </c>
      <c r="N32" s="270" t="s">
        <v>82</v>
      </c>
      <c r="O32" s="138">
        <f t="shared" si="8"/>
        <v>8.3000000000000001E-3</v>
      </c>
      <c r="P32" s="139">
        <f t="shared" si="9"/>
        <v>60</v>
      </c>
    </row>
    <row r="33" spans="1:16">
      <c r="A33" s="241"/>
      <c r="B33" s="184">
        <v>24</v>
      </c>
      <c r="C33" s="184" t="s">
        <v>111</v>
      </c>
      <c r="D33" s="254">
        <f t="shared" si="6"/>
        <v>10182</v>
      </c>
      <c r="E33" s="254">
        <f t="shared" si="7"/>
        <v>10182</v>
      </c>
      <c r="F33" s="188">
        <f t="shared" si="10"/>
        <v>11839</v>
      </c>
      <c r="G33" s="188">
        <v>6898</v>
      </c>
      <c r="H33" s="184"/>
      <c r="I33" s="269">
        <v>7.8299999999999995E-2</v>
      </c>
      <c r="J33" s="184">
        <v>1125</v>
      </c>
      <c r="K33" s="184">
        <v>0.58799999999999997</v>
      </c>
      <c r="L33" s="218">
        <v>1</v>
      </c>
      <c r="M33" s="218">
        <v>0.5</v>
      </c>
      <c r="N33" s="270" t="s">
        <v>84</v>
      </c>
      <c r="O33" s="138">
        <f t="shared" si="8"/>
        <v>7.8299999999999995E-2</v>
      </c>
      <c r="P33" s="139">
        <f t="shared" si="9"/>
        <v>563</v>
      </c>
    </row>
    <row r="34" spans="1:16">
      <c r="A34" s="241"/>
      <c r="B34" s="184">
        <v>25</v>
      </c>
      <c r="C34" s="184" t="s">
        <v>120</v>
      </c>
      <c r="D34" s="254">
        <f t="shared" si="6"/>
        <v>15387</v>
      </c>
      <c r="E34" s="254">
        <f t="shared" si="7"/>
        <v>8387</v>
      </c>
      <c r="F34" s="188">
        <f t="shared" si="10"/>
        <v>9752</v>
      </c>
      <c r="G34" s="188">
        <v>14700</v>
      </c>
      <c r="H34" s="184">
        <v>7000</v>
      </c>
      <c r="I34" s="269">
        <v>6.4500000000000002E-2</v>
      </c>
      <c r="J34" s="184">
        <v>900</v>
      </c>
      <c r="K34" s="184">
        <v>1</v>
      </c>
      <c r="L34" s="218">
        <v>1.03</v>
      </c>
      <c r="M34" s="218">
        <v>0.5</v>
      </c>
      <c r="N34" s="270" t="s">
        <v>84</v>
      </c>
      <c r="O34" s="138">
        <f t="shared" si="8"/>
        <v>6.4500000000000002E-2</v>
      </c>
      <c r="P34" s="139">
        <f t="shared" si="9"/>
        <v>464</v>
      </c>
    </row>
    <row r="35" spans="1:16" s="63" customFormat="1">
      <c r="A35" s="241"/>
      <c r="B35" s="184">
        <v>26</v>
      </c>
      <c r="C35" s="184" t="s">
        <v>112</v>
      </c>
      <c r="D35" s="254">
        <f>E35+H35-300</f>
        <v>5977</v>
      </c>
      <c r="E35" s="254">
        <f>F35*(1-0.14)+1700</f>
        <v>6277</v>
      </c>
      <c r="F35" s="188">
        <f t="shared" si="10"/>
        <v>5322</v>
      </c>
      <c r="G35" s="188">
        <v>4930</v>
      </c>
      <c r="H35" s="184"/>
      <c r="I35" s="269">
        <v>3.5200000000000002E-2</v>
      </c>
      <c r="J35" s="184">
        <v>500</v>
      </c>
      <c r="K35" s="184">
        <v>1</v>
      </c>
      <c r="L35" s="218">
        <v>1.01</v>
      </c>
      <c r="M35" s="218">
        <v>0.5</v>
      </c>
      <c r="N35" s="270" t="s">
        <v>84</v>
      </c>
      <c r="O35" s="275">
        <f t="shared" si="8"/>
        <v>3.5200000000000002E-2</v>
      </c>
      <c r="P35" s="276">
        <f t="shared" si="9"/>
        <v>253</v>
      </c>
    </row>
    <row r="36" spans="1:16" s="1" customFormat="1">
      <c r="A36" s="236"/>
      <c r="B36" s="216">
        <v>27</v>
      </c>
      <c r="C36" s="216" t="s">
        <v>113</v>
      </c>
      <c r="D36" s="256">
        <f>E36+H36</f>
        <v>10000</v>
      </c>
      <c r="E36" s="256">
        <v>10000</v>
      </c>
      <c r="F36" s="257">
        <f t="shared" si="10"/>
        <v>5322</v>
      </c>
      <c r="G36" s="256">
        <v>10000</v>
      </c>
      <c r="H36" s="216"/>
      <c r="I36" s="217">
        <v>3.5200000000000002E-2</v>
      </c>
      <c r="J36" s="216">
        <v>500</v>
      </c>
      <c r="K36" s="216">
        <v>1</v>
      </c>
      <c r="L36" s="214">
        <v>1.01</v>
      </c>
      <c r="M36" s="214">
        <v>0.5</v>
      </c>
      <c r="N36" s="272" t="s">
        <v>84</v>
      </c>
      <c r="O36" s="273">
        <f t="shared" si="8"/>
        <v>3.5200000000000002E-2</v>
      </c>
      <c r="P36" s="274">
        <f t="shared" si="9"/>
        <v>253</v>
      </c>
    </row>
    <row r="37" spans="1:16">
      <c r="A37" s="241"/>
      <c r="B37" s="184">
        <v>28</v>
      </c>
      <c r="C37" s="184" t="s">
        <v>114</v>
      </c>
      <c r="D37" s="254">
        <f t="shared" si="6"/>
        <v>8296</v>
      </c>
      <c r="E37" s="254">
        <f>F37*(1-0.14)</f>
        <v>8296</v>
      </c>
      <c r="F37" s="188">
        <f t="shared" si="10"/>
        <v>9647</v>
      </c>
      <c r="G37" s="188">
        <v>7068</v>
      </c>
      <c r="H37" s="184"/>
      <c r="I37" s="269">
        <v>6.3799999999999996E-2</v>
      </c>
      <c r="J37" s="184">
        <v>900</v>
      </c>
      <c r="K37" s="184">
        <v>0.77</v>
      </c>
      <c r="L37" s="218">
        <v>1.02</v>
      </c>
      <c r="M37" s="218">
        <v>0.5</v>
      </c>
      <c r="N37" s="270" t="s">
        <v>84</v>
      </c>
      <c r="O37" s="138">
        <f t="shared" si="8"/>
        <v>6.3799999999999996E-2</v>
      </c>
      <c r="P37" s="139">
        <f t="shared" si="9"/>
        <v>459</v>
      </c>
    </row>
    <row r="38" spans="1:16">
      <c r="A38" s="241"/>
      <c r="B38" s="184">
        <v>29</v>
      </c>
      <c r="C38" s="258" t="s">
        <v>79</v>
      </c>
      <c r="D38" s="254">
        <f t="shared" si="6"/>
        <v>1306</v>
      </c>
      <c r="E38" s="254">
        <f>F38*(1-0.11)</f>
        <v>1306</v>
      </c>
      <c r="F38" s="188">
        <f t="shared" si="10"/>
        <v>1467</v>
      </c>
      <c r="G38" s="255" t="s">
        <v>50</v>
      </c>
      <c r="H38" s="184"/>
      <c r="I38" s="269">
        <v>9.7000000000000003E-3</v>
      </c>
      <c r="J38" s="184">
        <v>140</v>
      </c>
      <c r="K38" s="184">
        <v>1</v>
      </c>
      <c r="L38" s="218">
        <v>1</v>
      </c>
      <c r="M38" s="218">
        <v>0.5</v>
      </c>
      <c r="N38" s="270" t="s">
        <v>84</v>
      </c>
      <c r="O38" s="138">
        <f t="shared" si="8"/>
        <v>9.7000000000000003E-3</v>
      </c>
      <c r="P38" s="139">
        <f t="shared" si="9"/>
        <v>70</v>
      </c>
    </row>
    <row r="39" spans="1:16">
      <c r="A39" s="241"/>
      <c r="B39" s="184"/>
      <c r="C39" s="184" t="s">
        <v>135</v>
      </c>
      <c r="D39" s="254">
        <f>SUM(D22:D38)</f>
        <v>161361</v>
      </c>
      <c r="E39" s="254">
        <f>SUM(E22:E38)</f>
        <v>137161</v>
      </c>
      <c r="F39" s="188">
        <f>SUM(F22:F38)</f>
        <v>151155</v>
      </c>
      <c r="G39" s="259"/>
      <c r="H39" s="184">
        <f>SUM(H22:H38)</f>
        <v>24500</v>
      </c>
      <c r="I39" s="218"/>
      <c r="J39" s="184">
        <v>12815</v>
      </c>
      <c r="K39" s="184"/>
      <c r="L39" s="184"/>
      <c r="M39" s="184"/>
      <c r="N39" s="278"/>
      <c r="P39" s="139">
        <f>SUM(P22:P38)</f>
        <v>7189</v>
      </c>
    </row>
    <row r="40" spans="1:16">
      <c r="D40" s="142"/>
      <c r="E40" s="142">
        <f>E20+E39</f>
        <v>378000</v>
      </c>
      <c r="F40" s="121">
        <f>F20+F39</f>
        <v>378000</v>
      </c>
    </row>
    <row r="41" spans="1:16">
      <c r="D41" s="142"/>
    </row>
  </sheetData>
  <mergeCells count="4">
    <mergeCell ref="A1:B1"/>
    <mergeCell ref="B3:N3"/>
    <mergeCell ref="B7:N7"/>
    <mergeCell ref="B21:N21"/>
  </mergeCells>
  <phoneticPr fontId="62" type="noConversion"/>
  <printOptions horizontalCentered="1"/>
  <pageMargins left="0.31496062992126" right="0.31496062992126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资金安排</vt:lpstr>
      <vt:lpstr>0601-改 (3)</vt:lpstr>
      <vt:lpstr>0601-改 (2)</vt:lpstr>
      <vt:lpstr>0601-改 (1)</vt:lpstr>
      <vt:lpstr>0531-改</vt:lpstr>
      <vt:lpstr>0531终稿</vt:lpstr>
      <vt:lpstr>0530下午报</vt:lpstr>
      <vt:lpstr>按改厕80%算</vt:lpstr>
      <vt:lpstr>0929签报稿</vt:lpstr>
      <vt:lpstr>按照85%计算</vt:lpstr>
      <vt:lpstr>最新计算过程</vt:lpstr>
      <vt:lpstr>计算修改</vt:lpstr>
      <vt:lpstr>原始计算过程</vt:lpstr>
      <vt:lpstr>Sheet1</vt:lpstr>
      <vt:lpstr>Sheet3</vt:lpstr>
      <vt:lpstr>资金安排!Print_Area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杜韫文</cp:lastModifiedBy>
  <cp:lastPrinted>2019-10-24T07:49:05Z</cp:lastPrinted>
  <dcterms:created xsi:type="dcterms:W3CDTF">2019-05-20T03:14:00Z</dcterms:created>
  <dcterms:modified xsi:type="dcterms:W3CDTF">2019-10-24T11:58:42Z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